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firstSheet="1" activeTab="1"/>
  </bookViews>
  <sheets>
    <sheet name="Budget Summary " sheetId="1" state="hidden" r:id="rId1"/>
    <sheet name="Budget Worksheet" sheetId="2" r:id="rId2"/>
    <sheet name="QHCS" sheetId="3" state="hidden" r:id="rId3"/>
    <sheet name="GV" sheetId="4" state="hidden" r:id="rId4"/>
    <sheet name="MHS" sheetId="5" state="hidden" r:id="rId5"/>
    <sheet name="SPED" sheetId="6" state="hidden" r:id="rId6"/>
    <sheet name="OTHER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3" hidden="1">'[1]BUD98 (BASE)'!#REF!</definedName>
    <definedName name="__123Graph_A" localSheetId="4" hidden="1">'[1]BUD98 (BASE)'!#REF!</definedName>
    <definedName name="__123Graph_A" localSheetId="6" hidden="1">'[1]BUD98 (BASE)'!#REF!</definedName>
    <definedName name="__123Graph_A" localSheetId="2" hidden="1">'[1]BUD98 (BASE)'!#REF!</definedName>
    <definedName name="__123Graph_A" localSheetId="5" hidden="1">'[1]BUD98 (BASE)'!#REF!</definedName>
    <definedName name="__123Graph_A" hidden="1">'[1]BUD98 (BASE)'!#REF!</definedName>
    <definedName name="__123Graph_B" localSheetId="3" hidden="1">'[1]BUD98 (BASE)'!#REF!</definedName>
    <definedName name="__123Graph_B" localSheetId="4" hidden="1">'[1]BUD98 (BASE)'!#REF!</definedName>
    <definedName name="__123Graph_B" localSheetId="6" hidden="1">'[1]BUD98 (BASE)'!#REF!</definedName>
    <definedName name="__123Graph_B" localSheetId="2" hidden="1">'[1]BUD98 (BASE)'!#REF!</definedName>
    <definedName name="__123Graph_B" localSheetId="5" hidden="1">'[1]BUD98 (BASE)'!#REF!</definedName>
    <definedName name="__123Graph_B" hidden="1">'[1]BUD98 (BASE)'!#REF!</definedName>
    <definedName name="_xlnm._FilterDatabase" localSheetId="1" hidden="1">'Budget Worksheet'!$A$6:$O$544</definedName>
    <definedName name="cbadmin" localSheetId="3">'[2]calcmisc'!#REF!</definedName>
    <definedName name="cbadmin" localSheetId="4">'[2]calcmisc'!#REF!</definedName>
    <definedName name="cbadmin" localSheetId="6">'[2]calcmisc'!#REF!</definedName>
    <definedName name="cbadmin" localSheetId="2">'[2]calcmisc'!#REF!</definedName>
    <definedName name="cbadmin" localSheetId="5">'[2]calcmisc'!#REF!</definedName>
    <definedName name="cbadmin">'[2]calcmisc'!#REF!</definedName>
    <definedName name="cbadminbud" localSheetId="3">'[2]calcmisc'!#REF!</definedName>
    <definedName name="cbadminbud" localSheetId="4">'[2]calcmisc'!#REF!</definedName>
    <definedName name="cbadminbud" localSheetId="6">'[2]calcmisc'!#REF!</definedName>
    <definedName name="cbadminbud" localSheetId="2">'[2]calcmisc'!#REF!</definedName>
    <definedName name="cbadminbud" localSheetId="5">'[2]calcmisc'!#REF!</definedName>
    <definedName name="cbadminbud">'[2]calcmisc'!#REF!</definedName>
    <definedName name="cbathsec" localSheetId="3">'[2]calcmisc'!#REF!</definedName>
    <definedName name="cbathsec" localSheetId="4">'[2]calcmisc'!#REF!</definedName>
    <definedName name="cbathsec" localSheetId="6">'[2]calcmisc'!#REF!</definedName>
    <definedName name="cbathsec" localSheetId="2">'[2]calcmisc'!#REF!</definedName>
    <definedName name="cbathsec" localSheetId="5">'[2]calcmisc'!#REF!</definedName>
    <definedName name="cbathsec">'[2]calcmisc'!#REF!</definedName>
    <definedName name="cbathsecbud" localSheetId="3">'[2]calcmisc'!#REF!</definedName>
    <definedName name="cbathsecbud" localSheetId="4">'[2]calcmisc'!#REF!</definedName>
    <definedName name="cbathsecbud" localSheetId="6">'[2]calcmisc'!#REF!</definedName>
    <definedName name="cbathsecbud" localSheetId="2">'[2]calcmisc'!#REF!</definedName>
    <definedName name="cbathsecbud" localSheetId="5">'[2]calcmisc'!#REF!</definedName>
    <definedName name="cbathsecbud">'[2]calcmisc'!#REF!</definedName>
    <definedName name="cbatthealth" localSheetId="3">'[2]calcmisc'!#REF!</definedName>
    <definedName name="cbatthealth" localSheetId="4">'[2]calcmisc'!#REF!</definedName>
    <definedName name="cbatthealth" localSheetId="6">'[2]calcmisc'!#REF!</definedName>
    <definedName name="cbatthealth" localSheetId="2">'[2]calcmisc'!#REF!</definedName>
    <definedName name="cbatthealth" localSheetId="5">'[2]calcmisc'!#REF!</definedName>
    <definedName name="cbatthealth">'[2]calcmisc'!#REF!</definedName>
    <definedName name="cbatthealthbud" localSheetId="3">'[2]calcmisc'!#REF!</definedName>
    <definedName name="cbatthealthbud" localSheetId="4">'[2]calcmisc'!#REF!</definedName>
    <definedName name="cbatthealthbud" localSheetId="6">'[2]calcmisc'!#REF!</definedName>
    <definedName name="cbatthealthbud" localSheetId="2">'[2]calcmisc'!#REF!</definedName>
    <definedName name="cbatthealthbud" localSheetId="5">'[2]calcmisc'!#REF!</definedName>
    <definedName name="cbatthealthbud">'[2]calcmisc'!#REF!</definedName>
    <definedName name="cbbenefits" localSheetId="3">'[2]calcmisc'!#REF!</definedName>
    <definedName name="cbbenefits" localSheetId="4">'[2]calcmisc'!#REF!</definedName>
    <definedName name="cbbenefits" localSheetId="6">'[2]calcmisc'!#REF!</definedName>
    <definedName name="cbbenefits" localSheetId="2">'[2]calcmisc'!#REF!</definedName>
    <definedName name="cbbenefits" localSheetId="5">'[2]calcmisc'!#REF!</definedName>
    <definedName name="cbbenefits">'[2]calcmisc'!#REF!</definedName>
    <definedName name="cbbenefitsbud" localSheetId="3">'[2]calcmisc'!#REF!</definedName>
    <definedName name="cbbenefitsbud" localSheetId="4">'[2]calcmisc'!#REF!</definedName>
    <definedName name="cbbenefitsbud" localSheetId="6">'[2]calcmisc'!#REF!</definedName>
    <definedName name="cbbenefitsbud" localSheetId="2">'[2]calcmisc'!#REF!</definedName>
    <definedName name="cbbenefitsbud" localSheetId="5">'[2]calcmisc'!#REF!</definedName>
    <definedName name="cbbenefitsbud">'[2]calcmisc'!#REF!</definedName>
    <definedName name="cbfood" localSheetId="3">'[2]calcmisc'!#REF!</definedName>
    <definedName name="cbfood" localSheetId="4">'[2]calcmisc'!#REF!</definedName>
    <definedName name="cbfood" localSheetId="6">'[2]calcmisc'!#REF!</definedName>
    <definedName name="cbfood" localSheetId="2">'[2]calcmisc'!#REF!</definedName>
    <definedName name="cbfood" localSheetId="5">'[2]calcmisc'!#REF!</definedName>
    <definedName name="cbfood">'[2]calcmisc'!#REF!</definedName>
    <definedName name="cbfoodbud" localSheetId="3">'[2]calcmisc'!#REF!</definedName>
    <definedName name="cbfoodbud" localSheetId="4">'[2]calcmisc'!#REF!</definedName>
    <definedName name="cbfoodbud" localSheetId="6">'[2]calcmisc'!#REF!</definedName>
    <definedName name="cbfoodbud" localSheetId="2">'[2]calcmisc'!#REF!</definedName>
    <definedName name="cbfoodbud" localSheetId="5">'[2]calcmisc'!#REF!</definedName>
    <definedName name="cbfoodbud">'[2]calcmisc'!#REF!</definedName>
    <definedName name="cbinstruction" localSheetId="3">'[2]calcmisc'!#REF!</definedName>
    <definedName name="cbinstruction" localSheetId="4">'[2]calcmisc'!#REF!</definedName>
    <definedName name="cbinstruction" localSheetId="6">'[2]calcmisc'!#REF!</definedName>
    <definedName name="cbinstruction" localSheetId="2">'[2]calcmisc'!#REF!</definedName>
    <definedName name="cbinstruction" localSheetId="5">'[2]calcmisc'!#REF!</definedName>
    <definedName name="cbinstruction">'[2]calcmisc'!#REF!</definedName>
    <definedName name="cbinstructionbud" localSheetId="3">'[2]calcmisc'!#REF!</definedName>
    <definedName name="cbinstructionbud" localSheetId="4">'[2]calcmisc'!#REF!</definedName>
    <definedName name="cbinstructionbud" localSheetId="6">'[2]calcmisc'!#REF!</definedName>
    <definedName name="cbinstructionbud" localSheetId="2">'[2]calcmisc'!#REF!</definedName>
    <definedName name="cbinstructionbud" localSheetId="5">'[2]calcmisc'!#REF!</definedName>
    <definedName name="cbinstructionbud">'[2]calcmisc'!#REF!</definedName>
    <definedName name="cbinsurance" localSheetId="3">'[2]calcmisc'!#REF!</definedName>
    <definedName name="cbinsurance" localSheetId="4">'[2]calcmisc'!#REF!</definedName>
    <definedName name="cbinsurance" localSheetId="6">'[2]calcmisc'!#REF!</definedName>
    <definedName name="cbinsurance" localSheetId="2">'[2]calcmisc'!#REF!</definedName>
    <definedName name="cbinsurance" localSheetId="5">'[2]calcmisc'!#REF!</definedName>
    <definedName name="cbinsurance">'[2]calcmisc'!#REF!</definedName>
    <definedName name="cbinsurancebud" localSheetId="3">'[2]calcmisc'!#REF!</definedName>
    <definedName name="cbinsurancebud" localSheetId="4">'[2]calcmisc'!#REF!</definedName>
    <definedName name="cbinsurancebud" localSheetId="6">'[2]calcmisc'!#REF!</definedName>
    <definedName name="cbinsurancebud" localSheetId="2">'[2]calcmisc'!#REF!</definedName>
    <definedName name="cbinsurancebud" localSheetId="5">'[2]calcmisc'!#REF!</definedName>
    <definedName name="cbinsurancebud">'[2]calcmisc'!#REF!</definedName>
    <definedName name="cbinterest" localSheetId="3">'[2]calcmisc'!#REF!</definedName>
    <definedName name="cbinterest" localSheetId="4">'[2]calcmisc'!#REF!</definedName>
    <definedName name="cbinterest" localSheetId="6">'[2]calcmisc'!#REF!</definedName>
    <definedName name="cbinterest" localSheetId="2">'[2]calcmisc'!#REF!</definedName>
    <definedName name="cbinterest" localSheetId="5">'[2]calcmisc'!#REF!</definedName>
    <definedName name="cbinterest">'[2]calcmisc'!#REF!</definedName>
    <definedName name="cbinterestbud" localSheetId="3">'[2]calcmisc'!#REF!</definedName>
    <definedName name="cbinterestbud" localSheetId="4">'[2]calcmisc'!#REF!</definedName>
    <definedName name="cbinterestbud" localSheetId="6">'[2]calcmisc'!#REF!</definedName>
    <definedName name="cbinterestbud" localSheetId="2">'[2]calcmisc'!#REF!</definedName>
    <definedName name="cbinterestbud" localSheetId="5">'[2]calcmisc'!#REF!</definedName>
    <definedName name="cbinterestbud">'[2]calcmisc'!#REF!</definedName>
    <definedName name="cbmaint" localSheetId="3">'[2]calcmisc'!#REF!</definedName>
    <definedName name="cbmaint" localSheetId="4">'[2]calcmisc'!#REF!</definedName>
    <definedName name="cbmaint" localSheetId="6">'[2]calcmisc'!#REF!</definedName>
    <definedName name="cbmaint" localSheetId="2">'[2]calcmisc'!#REF!</definedName>
    <definedName name="cbmaint" localSheetId="5">'[2]calcmisc'!#REF!</definedName>
    <definedName name="cbmaint">'[2]calcmisc'!#REF!</definedName>
    <definedName name="cbmaintbud" localSheetId="3">'[2]calcmisc'!#REF!</definedName>
    <definedName name="cbmaintbud" localSheetId="4">'[2]calcmisc'!#REF!</definedName>
    <definedName name="cbmaintbud" localSheetId="6">'[2]calcmisc'!#REF!</definedName>
    <definedName name="cbmaintbud" localSheetId="2">'[2]calcmisc'!#REF!</definedName>
    <definedName name="cbmaintbud" localSheetId="5">'[2]calcmisc'!#REF!</definedName>
    <definedName name="cbmaintbud">'[2]calcmisc'!#REF!</definedName>
    <definedName name="cbnsstot" localSheetId="3">'[2]calcmisc'!#REF!</definedName>
    <definedName name="cbnsstot" localSheetId="4">'[2]calcmisc'!#REF!</definedName>
    <definedName name="cbnsstot" localSheetId="6">'[2]calcmisc'!#REF!</definedName>
    <definedName name="cbnsstot" localSheetId="2">'[2]calcmisc'!#REF!</definedName>
    <definedName name="cbnsstot" localSheetId="5">'[2]calcmisc'!#REF!</definedName>
    <definedName name="cbnsstot">'[2]calcmisc'!#REF!</definedName>
    <definedName name="cbppindir" localSheetId="3">'[2]calcmisc'!#REF!</definedName>
    <definedName name="cbppindir" localSheetId="4">'[2]calcmisc'!#REF!</definedName>
    <definedName name="cbppindir" localSheetId="6">'[2]calcmisc'!#REF!</definedName>
    <definedName name="cbppindir" localSheetId="2">'[2]calcmisc'!#REF!</definedName>
    <definedName name="cbppindir" localSheetId="5">'[2]calcmisc'!#REF!</definedName>
    <definedName name="cbppindir">'[2]calcmisc'!#REF!</definedName>
    <definedName name="cbrentals" localSheetId="3">'[2]calcmisc'!#REF!</definedName>
    <definedName name="cbrentals" localSheetId="4">'[2]calcmisc'!#REF!</definedName>
    <definedName name="cbrentals" localSheetId="6">'[2]calcmisc'!#REF!</definedName>
    <definedName name="cbrentals" localSheetId="2">'[2]calcmisc'!#REF!</definedName>
    <definedName name="cbrentals" localSheetId="5">'[2]calcmisc'!#REF!</definedName>
    <definedName name="cbrentals">'[2]calcmisc'!#REF!</definedName>
    <definedName name="cbrentalsbud" localSheetId="3">'[2]calcmisc'!#REF!</definedName>
    <definedName name="cbrentalsbud" localSheetId="4">'[2]calcmisc'!#REF!</definedName>
    <definedName name="cbrentalsbud" localSheetId="6">'[2]calcmisc'!#REF!</definedName>
    <definedName name="cbrentalsbud" localSheetId="2">'[2]calcmisc'!#REF!</definedName>
    <definedName name="cbrentalsbud" localSheetId="5">'[2]calcmisc'!#REF!</definedName>
    <definedName name="cbrentalsbud">'[2]calcmisc'!#REF!</definedName>
    <definedName name="cbretch" localSheetId="3">'[2]calcmisc'!#REF!</definedName>
    <definedName name="cbretch" localSheetId="4">'[2]calcmisc'!#REF!</definedName>
    <definedName name="cbretch" localSheetId="6">'[2]calcmisc'!#REF!</definedName>
    <definedName name="cbretch" localSheetId="2">'[2]calcmisc'!#REF!</definedName>
    <definedName name="cbretch" localSheetId="5">'[2]calcmisc'!#REF!</definedName>
    <definedName name="cbretch">'[2]calcmisc'!#REF!</definedName>
    <definedName name="cbretchbud" localSheetId="3">'[2]calcmisc'!#REF!</definedName>
    <definedName name="cbretchbud" localSheetId="4">'[2]calcmisc'!#REF!</definedName>
    <definedName name="cbretchbud" localSheetId="6">'[2]calcmisc'!#REF!</definedName>
    <definedName name="cbretchbud" localSheetId="2">'[2]calcmisc'!#REF!</definedName>
    <definedName name="cbretchbud" localSheetId="5">'[2]calcmisc'!#REF!</definedName>
    <definedName name="cbretchbud">'[2]calcmisc'!#REF!</definedName>
    <definedName name="cbtuition" localSheetId="3">'[2]calcmisc'!#REF!</definedName>
    <definedName name="cbtuition" localSheetId="4">'[2]calcmisc'!#REF!</definedName>
    <definedName name="cbtuition" localSheetId="6">'[2]calcmisc'!#REF!</definedName>
    <definedName name="cbtuition" localSheetId="2">'[2]calcmisc'!#REF!</definedName>
    <definedName name="cbtuition" localSheetId="5">'[2]calcmisc'!#REF!</definedName>
    <definedName name="cbtuition">'[2]calcmisc'!#REF!</definedName>
    <definedName name="cbtuitionbud" localSheetId="3">'[2]calcmisc'!#REF!</definedName>
    <definedName name="cbtuitionbud" localSheetId="4">'[2]calcmisc'!#REF!</definedName>
    <definedName name="cbtuitionbud" localSheetId="6">'[2]calcmisc'!#REF!</definedName>
    <definedName name="cbtuitionbud" localSheetId="2">'[2]calcmisc'!#REF!</definedName>
    <definedName name="cbtuitionbud" localSheetId="5">'[2]calcmisc'!#REF!</definedName>
    <definedName name="cbtuitionbud">'[2]calcmisc'!#REF!</definedName>
    <definedName name="choiceppindir" localSheetId="3">'[2]calcmisc'!#REF!</definedName>
    <definedName name="choiceppindir" localSheetId="4">'[2]calcmisc'!#REF!</definedName>
    <definedName name="choiceppindir" localSheetId="6">'[2]calcmisc'!#REF!</definedName>
    <definedName name="choiceppindir" localSheetId="2">'[2]calcmisc'!#REF!</definedName>
    <definedName name="choiceppindir" localSheetId="5">'[2]calcmisc'!#REF!</definedName>
    <definedName name="choiceppindir">'[2]calcmisc'!#REF!</definedName>
    <definedName name="combinstpp" localSheetId="3">'[2]calcmisc'!#REF!</definedName>
    <definedName name="combinstpp" localSheetId="4">'[2]calcmisc'!#REF!</definedName>
    <definedName name="combinstpp" localSheetId="6">'[2]calcmisc'!#REF!</definedName>
    <definedName name="combinstpp" localSheetId="2">'[2]calcmisc'!#REF!</definedName>
    <definedName name="combinstpp" localSheetId="5">'[2]calcmisc'!#REF!</definedName>
    <definedName name="combinstpp">'[2]calcmisc'!#REF!</definedName>
    <definedName name="distdata">#REF!</definedName>
    <definedName name="DSFADF" localSheetId="4">'[2]calcmisc'!#REF!</definedName>
    <definedName name="DSFADF" localSheetId="6">'[2]calcmisc'!#REF!</definedName>
    <definedName name="DSFADF" localSheetId="5">'[2]calcmisc'!#REF!</definedName>
    <definedName name="DSFADF">'[2]calcmisc'!#REF!</definedName>
    <definedName name="GMVS2" localSheetId="4">'[2]calcmisc'!#REF!</definedName>
    <definedName name="GMVS2" localSheetId="6">'[2]calcmisc'!#REF!</definedName>
    <definedName name="GMVS2" localSheetId="5">'[2]calcmisc'!#REF!</definedName>
    <definedName name="GMVS2">'[2]calcmisc'!#REF!</definedName>
    <definedName name="GVMS2" localSheetId="4">'[2]calcmisc'!#REF!</definedName>
    <definedName name="GVMS2" localSheetId="6">'[2]calcmisc'!#REF!</definedName>
    <definedName name="GVMS2" localSheetId="5">'[2]calcmisc'!#REF!</definedName>
    <definedName name="GVMS2">'[2]calcmisc'!#REF!</definedName>
    <definedName name="OTHER" localSheetId="3" hidden="1">'[4]BUD98 (BASE)'!#REF!</definedName>
    <definedName name="OTHER" localSheetId="4" hidden="1">'[4]BUD98 (BASE)'!#REF!</definedName>
    <definedName name="OTHER" localSheetId="6" hidden="1">'[4]BUD98 (BASE)'!#REF!</definedName>
    <definedName name="OTHER" localSheetId="2" hidden="1">'[4]BUD98 (BASE)'!#REF!</definedName>
    <definedName name="OTHER" localSheetId="5" hidden="1">'[4]BUD98 (BASE)'!#REF!</definedName>
    <definedName name="OTHER" hidden="1">'[4]BUD98 (BASE)'!#REF!</definedName>
    <definedName name="OTHER2" localSheetId="3" hidden="1">'[4]BUD98 (BASE)'!#REF!</definedName>
    <definedName name="OTHER2" localSheetId="4" hidden="1">'[4]BUD98 (BASE)'!#REF!</definedName>
    <definedName name="OTHER2" localSheetId="6" hidden="1">'[4]BUD98 (BASE)'!#REF!</definedName>
    <definedName name="OTHER2" localSheetId="2" hidden="1">'[4]BUD98 (BASE)'!#REF!</definedName>
    <definedName name="OTHER2" localSheetId="5" hidden="1">'[4]BUD98 (BASE)'!#REF!</definedName>
    <definedName name="OTHER2" hidden="1">'[4]BUD98 (BASE)'!#REF!</definedName>
    <definedName name="_xlnm.Print_Area" localSheetId="0">'Budget Summary '!$A$2:$R$44</definedName>
    <definedName name="_xlnm.Print_Area" localSheetId="1">'Budget Worksheet'!$A$1:$O$387</definedName>
    <definedName name="_xlnm.Print_Area" localSheetId="3">'GV'!$A$1:$H$93</definedName>
    <definedName name="_xlnm.Print_Area" localSheetId="4">'MHS'!$A$1:$H$95</definedName>
    <definedName name="_xlnm.Print_Area" localSheetId="6">'OTHER'!$A$1:$G$54</definedName>
    <definedName name="_xlnm.Print_Area" localSheetId="2">'QHCS'!$A$1:$C$30</definedName>
    <definedName name="_xlnm.Print_Area" localSheetId="5">'SPED'!$A$1:$J$120</definedName>
    <definedName name="PRINT_AREA_MI">#REF!</definedName>
    <definedName name="_xlnm.Print_Titles" localSheetId="1">'Budget Worksheet'!$2:$6</definedName>
    <definedName name="Print_Titles_Sch1_3rd" localSheetId="3">'[2]eoy12'!#REF!</definedName>
    <definedName name="Print_Titles_Sch1_3rd" localSheetId="4">'[2]eoy12'!#REF!</definedName>
    <definedName name="Print_Titles_Sch1_3rd" localSheetId="6">'[2]eoy12'!#REF!</definedName>
    <definedName name="Print_Titles_Sch1_3rd" localSheetId="2">'[2]eoy12'!#REF!</definedName>
    <definedName name="Print_Titles_Sch1_3rd" localSheetId="5">'[2]eoy12'!#REF!</definedName>
    <definedName name="Print_Titles_Sch1_3rd">'[2]eoy12'!#REF!</definedName>
    <definedName name="Print_Titles_Sch11" localSheetId="3">'[2]eoy12'!#REF!</definedName>
    <definedName name="Print_Titles_Sch11" localSheetId="4">'[2]eoy12'!#REF!</definedName>
    <definedName name="Print_Titles_Sch11" localSheetId="6">'[2]eoy12'!#REF!</definedName>
    <definedName name="Print_Titles_Sch11" localSheetId="2">'[2]eoy12'!#REF!</definedName>
    <definedName name="Print_Titles_Sch11" localSheetId="5">'[2]eoy12'!#REF!</definedName>
    <definedName name="Print_Titles_Sch11">'[2]eoy12'!#REF!</definedName>
    <definedName name="Print_Titles_Sch13" localSheetId="3">'[2]eoy12'!#REF!</definedName>
    <definedName name="Print_Titles_Sch13" localSheetId="4">'[2]eoy12'!#REF!</definedName>
    <definedName name="Print_Titles_Sch13" localSheetId="6">'[2]eoy12'!#REF!</definedName>
    <definedName name="Print_Titles_Sch13" localSheetId="2">'[2]eoy12'!#REF!</definedName>
    <definedName name="Print_Titles_Sch13" localSheetId="5">'[2]eoy12'!#REF!</definedName>
    <definedName name="Print_Titles_Sch13">'[2]eoy12'!#REF!</definedName>
    <definedName name="py1yrdata">#REF!</definedName>
    <definedName name="py2yrdata">#REF!</definedName>
    <definedName name="undistpp" localSheetId="3">'[2]calcmisc'!#REF!</definedName>
    <definedName name="undistpp" localSheetId="4">'[2]calcmisc'!#REF!</definedName>
    <definedName name="undistpp" localSheetId="6">'[2]calcmisc'!#REF!</definedName>
    <definedName name="undistpp" localSheetId="2">'[2]calcmisc'!#REF!</definedName>
    <definedName name="undistpp" localSheetId="5">'[2]calcmisc'!#REF!</definedName>
    <definedName name="undistpp">'[2]calcmisc'!#REF!</definedName>
    <definedName name="undistppindir" localSheetId="3">'[2]calcmisc'!#REF!</definedName>
    <definedName name="undistppindir" localSheetId="4">'[2]calcmisc'!#REF!</definedName>
    <definedName name="undistppindir" localSheetId="6">'[2]calcmisc'!#REF!</definedName>
    <definedName name="undistppindir" localSheetId="2">'[2]calcmisc'!#REF!</definedName>
    <definedName name="undistppindir" localSheetId="5">'[2]calcmisc'!#REF!</definedName>
    <definedName name="undistppindir">'[2]calcmisc'!#REF!</definedName>
  </definedNames>
  <calcPr fullCalcOnLoad="1"/>
</workbook>
</file>

<file path=xl/sharedStrings.xml><?xml version="1.0" encoding="utf-8"?>
<sst xmlns="http://schemas.openxmlformats.org/spreadsheetml/2006/main" count="1120" uniqueCount="854">
  <si>
    <t>WATER DEPT. BACKFLOW TEST</t>
  </si>
  <si>
    <t>M.S. GENERATOR SERVICE CONTRACT</t>
  </si>
  <si>
    <t>H.S. GENERATOR SERVICE CONTRACT</t>
  </si>
  <si>
    <t>ELEM. GENERATOR SERVICE CONTRACT</t>
  </si>
  <si>
    <t>M.S. LOCKER REPAIRS</t>
  </si>
  <si>
    <t>H.S. LOCKER REPAIRS</t>
  </si>
  <si>
    <t>EXTRAORDINARY MAINTENANCE</t>
  </si>
  <si>
    <t>TRUCK MAINTENANCE</t>
  </si>
  <si>
    <t>EQUIPMENT MAINTENANCE</t>
  </si>
  <si>
    <t>BUILDING MAINTENANCE</t>
  </si>
  <si>
    <t>TELEPHONE</t>
  </si>
  <si>
    <t>LIGHTING</t>
  </si>
  <si>
    <t>328c</t>
  </si>
  <si>
    <t>99,925</t>
  </si>
  <si>
    <t>89,425</t>
  </si>
  <si>
    <t>328b</t>
  </si>
  <si>
    <t>67,667</t>
  </si>
  <si>
    <t>328a</t>
  </si>
  <si>
    <t>ELECTRICITY</t>
  </si>
  <si>
    <t>HIGH SCHOOL NATURAL GAS</t>
  </si>
  <si>
    <t>MIDDLE SCHOOL NATURAL GAS</t>
  </si>
  <si>
    <t>ELEMENTARY NATURAL GAS</t>
  </si>
  <si>
    <t>327d</t>
  </si>
  <si>
    <t>327c</t>
  </si>
  <si>
    <t>327b</t>
  </si>
  <si>
    <t>FUEL OIL (#2), CBO</t>
  </si>
  <si>
    <t>327a</t>
  </si>
  <si>
    <t>SNOW PLOWING</t>
  </si>
  <si>
    <t>ASBESTOS SURVEY</t>
  </si>
  <si>
    <t>PUBLIC USE OF BUILDINGS</t>
  </si>
  <si>
    <t>UPKEEP OF GROUNDS</t>
  </si>
  <si>
    <t>322c</t>
  </si>
  <si>
    <t>DIR of MAINTENANCE, SALARY</t>
  </si>
  <si>
    <t>322b</t>
  </si>
  <si>
    <t>S</t>
  </si>
  <si>
    <t>322a</t>
  </si>
  <si>
    <t>CUSTODIANS/MAINT' SALARIES</t>
  </si>
  <si>
    <t>318d</t>
  </si>
  <si>
    <t>318c</t>
  </si>
  <si>
    <t>318b</t>
  </si>
  <si>
    <t>VANDALISM</t>
  </si>
  <si>
    <t>OPERATION &amp; MAINTENANCE OF PLANT</t>
  </si>
  <si>
    <t>SRO</t>
  </si>
  <si>
    <t>SOCIAL WORKER'S SALARY</t>
  </si>
  <si>
    <t>TECHNOLOGY TECHNICIAN</t>
  </si>
  <si>
    <t>303b</t>
  </si>
  <si>
    <t>TECHNOLOGY COORDINATOR/DIRECTOR</t>
  </si>
  <si>
    <t>CONTR SERV - TECHNOLOGY</t>
  </si>
  <si>
    <t>TECHNOLOGY SUPPORT SECRETARY O.T.</t>
  </si>
  <si>
    <t>302a</t>
  </si>
  <si>
    <t>TECHNOLOGY SUPPORT SECRETARY SAL.</t>
  </si>
  <si>
    <t>INSURANCE PROGRAM</t>
  </si>
  <si>
    <t>NEW TEACHER MENTORING</t>
  </si>
  <si>
    <t>COMPUTER MTCE &amp; SUPPLIES</t>
  </si>
  <si>
    <t>CONTRACTS ON DUPL. &amp; COPIERS</t>
  </si>
  <si>
    <t>297h</t>
  </si>
  <si>
    <t>297g</t>
  </si>
  <si>
    <t>297f</t>
  </si>
  <si>
    <t>TECH REPL - NETWORK SOFTWARE</t>
  </si>
  <si>
    <t>297e</t>
  </si>
  <si>
    <t>297d</t>
  </si>
  <si>
    <t>297c</t>
  </si>
  <si>
    <t>297b</t>
  </si>
  <si>
    <t>TECH REPL - NETWORK HARDWARE</t>
  </si>
  <si>
    <t>297a</t>
  </si>
  <si>
    <t>TUITION REIMBURSEMENT</t>
  </si>
  <si>
    <t>295d</t>
  </si>
  <si>
    <t>295c</t>
  </si>
  <si>
    <t>295b</t>
  </si>
  <si>
    <t>COPIER PAPER - SYSTEM WIDE</t>
  </si>
  <si>
    <t>295a</t>
  </si>
  <si>
    <t>NETWORK SERVICES - SERV AGRMTS</t>
  </si>
  <si>
    <t>294b</t>
  </si>
  <si>
    <t>NETWORK SERVICES - LICENSES</t>
  </si>
  <si>
    <t>294a</t>
  </si>
  <si>
    <t>293d</t>
  </si>
  <si>
    <t>293c</t>
  </si>
  <si>
    <t>293b</t>
  </si>
  <si>
    <t>COPIER/DUPL SUPPLIES - SYSTEM WIDE</t>
  </si>
  <si>
    <t>293a</t>
  </si>
  <si>
    <t>SEVERANCE PAY</t>
  </si>
  <si>
    <t>UNEMPLOYMENT</t>
  </si>
  <si>
    <t>SCHOOL COMMITTEE INITIATIVES</t>
  </si>
  <si>
    <t>ASP COORDINATOR</t>
  </si>
  <si>
    <t>CURRICULUM ADMIN</t>
  </si>
  <si>
    <t>DISTRICT INFO LIASON</t>
  </si>
  <si>
    <t>PROFESSIONAL DEVELOPMENT</t>
  </si>
  <si>
    <t>DIR. OF CURR'S TRAVEL EXPENSE</t>
  </si>
  <si>
    <t>DIR. OF CURR.'S CONFERENCE/DUES</t>
  </si>
  <si>
    <t>SYSTEM WIDE EXPENSES</t>
  </si>
  <si>
    <t>ATHLETICS</t>
  </si>
  <si>
    <t xml:space="preserve">CHEERING &amp; INTRAMURAL ADVISORS  </t>
  </si>
  <si>
    <t xml:space="preserve">COACHES' SALARIES                    </t>
  </si>
  <si>
    <t>ATHLETIC DIRECTOR</t>
  </si>
  <si>
    <t>ACTIVITIES TRANSPORTATION</t>
  </si>
  <si>
    <t>FIELD TRIPS</t>
  </si>
  <si>
    <t>NURSE'S SUPPLIES/POSTAGE</t>
  </si>
  <si>
    <t>SCHOOL PHYSICIAN   GR. 11</t>
  </si>
  <si>
    <t>NURSE'S SALARY, EXTRA DAYS</t>
  </si>
  <si>
    <t>253a</t>
  </si>
  <si>
    <t xml:space="preserve">NURSE'S SALARY                                      </t>
  </si>
  <si>
    <t>SUBSTITUTE NURSES</t>
  </si>
  <si>
    <t>ATTENDANCE OFFICER SALARY</t>
  </si>
  <si>
    <t>CONFERENCES - GUIDANCE</t>
  </si>
  <si>
    <t xml:space="preserve">GUID. SUPPLIES/MATERIALS </t>
  </si>
  <si>
    <t>GUIDANCE SALARIES, EXTRA DAYS</t>
  </si>
  <si>
    <t>244a</t>
  </si>
  <si>
    <r>
      <t xml:space="preserve">GUIDANCE SALARIES                              </t>
    </r>
  </si>
  <si>
    <t>LIBRARIAN'S SALARY, EXTRA DAYS</t>
  </si>
  <si>
    <t>243a</t>
  </si>
  <si>
    <t xml:space="preserve">LIBRARIAN'S SALARY                            </t>
  </si>
  <si>
    <t>HEALTH EDUCATION SUPPLIES</t>
  </si>
  <si>
    <t>MUSIC DEPT. EXPENSES/FEES</t>
  </si>
  <si>
    <t>SUBSTITUTE TEACHERS</t>
  </si>
  <si>
    <t>PRINCIPALS' PROFESSIONAL FEES</t>
  </si>
  <si>
    <t>SCHOOL SECRETARIES O.T./EXTRA DAYS</t>
  </si>
  <si>
    <t>225k</t>
  </si>
  <si>
    <t>225j</t>
  </si>
  <si>
    <t>225i</t>
  </si>
  <si>
    <t>225h</t>
  </si>
  <si>
    <t>225g</t>
  </si>
  <si>
    <t>225f</t>
  </si>
  <si>
    <t>225e</t>
  </si>
  <si>
    <t>225d</t>
  </si>
  <si>
    <t>225c</t>
  </si>
  <si>
    <t>225b</t>
  </si>
  <si>
    <t>225a</t>
  </si>
  <si>
    <t>DRIVER EDUCATION</t>
  </si>
  <si>
    <t>221j</t>
  </si>
  <si>
    <t>221i</t>
  </si>
  <si>
    <t>221h</t>
  </si>
  <si>
    <t>221g</t>
  </si>
  <si>
    <t>221f</t>
  </si>
  <si>
    <t>221e</t>
  </si>
  <si>
    <t>221d</t>
  </si>
  <si>
    <t>221c</t>
  </si>
  <si>
    <t>221b</t>
  </si>
  <si>
    <t>221a</t>
  </si>
  <si>
    <t>152d</t>
  </si>
  <si>
    <t>152c</t>
  </si>
  <si>
    <t>GRADUATION EXPENSES</t>
  </si>
  <si>
    <t>BUILDING AIDES, EXTRA DAYS</t>
  </si>
  <si>
    <t>193a</t>
  </si>
  <si>
    <t xml:space="preserve">BUILDING AIDES SALS.                          </t>
  </si>
  <si>
    <t xml:space="preserve">INTRAMURAL ADVISORS                </t>
  </si>
  <si>
    <t xml:space="preserve">INSTRUCTIONAL AIDE SAL. (LIBRARY)      </t>
  </si>
  <si>
    <t>POLICE COVERAGE (NON-ATHLETIC)</t>
  </si>
  <si>
    <t xml:space="preserve">SCHOOL PHYSICIAN   GR. 8 </t>
  </si>
  <si>
    <t>184a</t>
  </si>
  <si>
    <t xml:space="preserve">NURSE'S SALARY                                        </t>
  </si>
  <si>
    <t>BTWN SCHOOL TRANSPORTATION</t>
  </si>
  <si>
    <t>GUIDANCE SALARIES, O.T.</t>
  </si>
  <si>
    <t>175a</t>
  </si>
  <si>
    <t xml:space="preserve">GUIDANCE SALARIES                            </t>
  </si>
  <si>
    <t xml:space="preserve">LIBRARIAN'S SALARY                </t>
  </si>
  <si>
    <t xml:space="preserve">TEACHING ASSISTANTS SALS.         </t>
  </si>
  <si>
    <t>SUB SECRETARIES SAL</t>
  </si>
  <si>
    <t>156j</t>
  </si>
  <si>
    <t>156i</t>
  </si>
  <si>
    <t>156h</t>
  </si>
  <si>
    <t>156g</t>
  </si>
  <si>
    <t>156f</t>
  </si>
  <si>
    <t>156e</t>
  </si>
  <si>
    <t>156d</t>
  </si>
  <si>
    <t>156c</t>
  </si>
  <si>
    <t>156b</t>
  </si>
  <si>
    <t>156a</t>
  </si>
  <si>
    <t>152f</t>
  </si>
  <si>
    <t>80g</t>
  </si>
  <si>
    <t>152e</t>
  </si>
  <si>
    <t>152b</t>
  </si>
  <si>
    <t>152a</t>
  </si>
  <si>
    <t>80e</t>
  </si>
  <si>
    <t>80d</t>
  </si>
  <si>
    <t>80c</t>
  </si>
  <si>
    <t>80b</t>
  </si>
  <si>
    <t>LIFEGUARD</t>
  </si>
  <si>
    <t>116b</t>
  </si>
  <si>
    <t>BLDG AIDES/EXTRA DAYS</t>
  </si>
  <si>
    <t>116a</t>
  </si>
  <si>
    <t>BLDG AIDES</t>
  </si>
  <si>
    <t>111a</t>
  </si>
  <si>
    <t xml:space="preserve">NURSE'S SALARY                                         </t>
  </si>
  <si>
    <t>SCHOOL PHYSICIAN    GR. 4</t>
  </si>
  <si>
    <t>SCHOOL RESOURCE OFFICER SALARY</t>
  </si>
  <si>
    <t xml:space="preserve">LIBRARIAN'S SALARY                           </t>
  </si>
  <si>
    <t>96b</t>
  </si>
  <si>
    <t>96a</t>
  </si>
  <si>
    <t xml:space="preserve">INSTRUCTIONAL AIDES SAL.        </t>
  </si>
  <si>
    <t>91b</t>
  </si>
  <si>
    <t>91a</t>
  </si>
  <si>
    <t xml:space="preserve">SCHOOL SECRETARIES SALS, BASE           </t>
  </si>
  <si>
    <t>83e</t>
  </si>
  <si>
    <t>83d</t>
  </si>
  <si>
    <t>83c</t>
  </si>
  <si>
    <t>83b</t>
  </si>
  <si>
    <t>83a</t>
  </si>
  <si>
    <t>80f</t>
  </si>
  <si>
    <t>80a</t>
  </si>
  <si>
    <t>INN PROGRAM - Supplies</t>
  </si>
  <si>
    <t>66b</t>
  </si>
  <si>
    <t>66a</t>
  </si>
  <si>
    <t>LISS PROGRAM - HS</t>
  </si>
  <si>
    <t>LISS PROGRAM - MS , Includes Teacher/Aide</t>
  </si>
  <si>
    <t>IAES PROGRAM - HILLSIDE</t>
  </si>
  <si>
    <t>SPECIAL SPECIALIST CONSULTANTS,</t>
  </si>
  <si>
    <t>62e</t>
  </si>
  <si>
    <t>SPECIAL PROGRAM SUPPLIES</t>
  </si>
  <si>
    <t>62d</t>
  </si>
  <si>
    <t>SPECIAL PROGRAM, AIDES</t>
  </si>
  <si>
    <t>62c</t>
  </si>
  <si>
    <t>SPECIAL PROGRAM, EXTRA DAYS</t>
  </si>
  <si>
    <t>62b</t>
  </si>
  <si>
    <t>62a</t>
  </si>
  <si>
    <t xml:space="preserve">ALTERNATIVE EDUCATION - ES </t>
  </si>
  <si>
    <t xml:space="preserve">ALTERNATIVE EDUCATION - HS  </t>
  </si>
  <si>
    <t>PRIVATE SCHOOL TUITION</t>
  </si>
  <si>
    <t>PUBLIC SCHOOL TUITION</t>
  </si>
  <si>
    <t xml:space="preserve">LIFESKILLS PROGRAM                                </t>
  </si>
  <si>
    <t>SP.ED. CONFERENCE/TRAVEL EXP.</t>
  </si>
  <si>
    <t>POSTAGE</t>
  </si>
  <si>
    <t>SP.ED. OFFICE EXPENSES</t>
  </si>
  <si>
    <t>TEXTBOOKS/TEST MATERIALS</t>
  </si>
  <si>
    <t>IEP COMPUTER CONTRACT</t>
  </si>
  <si>
    <t>SP.ED. SUPPLIES/MATERIALS</t>
  </si>
  <si>
    <t>SP.ED. VISION SERVICES</t>
  </si>
  <si>
    <t>49e</t>
  </si>
  <si>
    <t>SP.ED. SPEECH SERVICES, SALARY</t>
  </si>
  <si>
    <t>49c</t>
  </si>
  <si>
    <t>49b</t>
  </si>
  <si>
    <t>SP.ED. PT, OT, AT  SERVICES</t>
  </si>
  <si>
    <t>49a</t>
  </si>
  <si>
    <t>DPS-PROFESSIONAL DEVELOPMENT</t>
  </si>
  <si>
    <t>REMEDIAL READING TRAINING</t>
  </si>
  <si>
    <t>47b</t>
  </si>
  <si>
    <t>SP.ED. PSYCH/EVAL SERVICES</t>
  </si>
  <si>
    <t>47a</t>
  </si>
  <si>
    <t>46d</t>
  </si>
  <si>
    <t>46c</t>
  </si>
  <si>
    <t>46b</t>
  </si>
  <si>
    <t xml:space="preserve">SP.ED. PRE-K INSTR. AIDES' SALS   </t>
  </si>
  <si>
    <t>46a</t>
  </si>
  <si>
    <t>Aides</t>
  </si>
  <si>
    <t>SP.ED. CLERICAL SALARIES O.T.</t>
  </si>
  <si>
    <t>45b</t>
  </si>
  <si>
    <t xml:space="preserve">SP.ED. CLERICAL SALARIES             </t>
  </si>
  <si>
    <t>45a</t>
  </si>
  <si>
    <t>SUMMER PROGRAM</t>
  </si>
  <si>
    <t xml:space="preserve">OFF-SITE ONE-TO-ONE AIDES                </t>
  </si>
  <si>
    <t>TUTORS/HOMEBOUND INSTRUCTION</t>
  </si>
  <si>
    <t xml:space="preserve">SP.ED. HS TEACHERS' SALARIES   </t>
  </si>
  <si>
    <t>41d</t>
  </si>
  <si>
    <t>SP.ED. MS TEACHERS' SALARIES</t>
  </si>
  <si>
    <t>41c</t>
  </si>
  <si>
    <t>SP.ED. ES K TEACHERS' SALARIES</t>
  </si>
  <si>
    <t>41b</t>
  </si>
  <si>
    <t xml:space="preserve">SP.ED. PRE-K TEACHERS' SALARIES    </t>
  </si>
  <si>
    <t>41a</t>
  </si>
  <si>
    <t>Teachers</t>
  </si>
  <si>
    <t>SP.ED. SUBSTITUTES</t>
  </si>
  <si>
    <t xml:space="preserve">DIR. OF PUPIL SERVICES' SALARY       </t>
  </si>
  <si>
    <t>EXPENSES</t>
  </si>
  <si>
    <t>FY '18 CIRCUIT BREAKER ESTIMATED</t>
  </si>
  <si>
    <t>240 GRANT</t>
  </si>
  <si>
    <t>TITLE 1</t>
  </si>
  <si>
    <t>REVENUE</t>
  </si>
  <si>
    <t>SPECIAL EDUCATION</t>
  </si>
  <si>
    <t>ADMIN CONF &amp; TRAVEL EXPENSE</t>
  </si>
  <si>
    <t>TEXTS AND SUBSCRIPTIONS</t>
  </si>
  <si>
    <t>CBO CONFERENCES/WORKSHOPS</t>
  </si>
  <si>
    <t xml:space="preserve">DIR. OF BUSINESS SERVICES' DUES'   </t>
  </si>
  <si>
    <t>16b</t>
  </si>
  <si>
    <t>SUPERINTENDENT'S DUES</t>
  </si>
  <si>
    <t>16a</t>
  </si>
  <si>
    <t>OFFICE SUPPLIES</t>
  </si>
  <si>
    <t>CONTRACTED SERVICES - MICROFILM</t>
  </si>
  <si>
    <t xml:space="preserve">ADMIN/CLERICAL SALARIES O.T.  </t>
  </si>
  <si>
    <t>HR and Finance Coordinator</t>
  </si>
  <si>
    <t>Confidential Secretary to Superintendent</t>
  </si>
  <si>
    <t xml:space="preserve">ADMIN/S.C. CLERICAL SALARIES       </t>
  </si>
  <si>
    <t xml:space="preserve">DIR. OF BUSINESS SERVICES' SALARY    </t>
  </si>
  <si>
    <t>SUPERINTENDENT'S OTHER</t>
  </si>
  <si>
    <t>9b</t>
  </si>
  <si>
    <t>SUPERINTENDENT'S SALARY</t>
  </si>
  <si>
    <t>9a</t>
  </si>
  <si>
    <t>SCHOOL COMMITTEE DUES/MISC. OTHER</t>
  </si>
  <si>
    <t>ADMIN-CONTR SERV OTHER</t>
  </si>
  <si>
    <t>7b</t>
  </si>
  <si>
    <t>ADMIN-CONTR SERV COPIER/SUPPLIES</t>
  </si>
  <si>
    <t>7a</t>
  </si>
  <si>
    <t>SC RECORDING SECRETARY</t>
  </si>
  <si>
    <t>6a</t>
  </si>
  <si>
    <t>RECRUITING/OTHER S. C. EXPENSES</t>
  </si>
  <si>
    <t>ADMIN MEETING EXPENSES</t>
  </si>
  <si>
    <t>LEGAL SERVICES, SPED</t>
  </si>
  <si>
    <t>3b</t>
  </si>
  <si>
    <t>LEGAL SERVICES</t>
  </si>
  <si>
    <t>3a</t>
  </si>
  <si>
    <t>ADMINISTRATION / SC  TOTALS</t>
  </si>
  <si>
    <t>ENCUMBERANCE</t>
  </si>
  <si>
    <t>EXPENDED</t>
  </si>
  <si>
    <t>REVISED</t>
  </si>
  <si>
    <t>/ADJSTMTS</t>
  </si>
  <si>
    <t>NSS</t>
  </si>
  <si>
    <t>Department</t>
  </si>
  <si>
    <t>FULL YEAR</t>
  </si>
  <si>
    <t>YTD</t>
  </si>
  <si>
    <t>TRANSFERS</t>
  </si>
  <si>
    <t>Comments</t>
  </si>
  <si>
    <t>OFFSET</t>
  </si>
  <si>
    <t>ADDED</t>
  </si>
  <si>
    <t>BUDGETED</t>
  </si>
  <si>
    <t>FROM</t>
  </si>
  <si>
    <t>BUDGET</t>
  </si>
  <si>
    <t>GRANTS/</t>
  </si>
  <si>
    <t>REMOVED</t>
  </si>
  <si>
    <t>TOTAL</t>
  </si>
  <si>
    <t>ACTUAL</t>
  </si>
  <si>
    <t>CHANGE</t>
  </si>
  <si>
    <t>FY'20</t>
  </si>
  <si>
    <t>ITEMS</t>
  </si>
  <si>
    <t>FY'19</t>
  </si>
  <si>
    <t>FY'17</t>
  </si>
  <si>
    <t>FY'16</t>
  </si>
  <si>
    <t>FY'12</t>
  </si>
  <si>
    <t>MONSON  FY'19  BUDGET</t>
  </si>
  <si>
    <t>ENROLLMENT</t>
  </si>
  <si>
    <t>FY'09</t>
  </si>
  <si>
    <t>FY'11</t>
  </si>
  <si>
    <t>FY'13</t>
  </si>
  <si>
    <t>FY'14</t>
  </si>
  <si>
    <t>FY'15</t>
  </si>
  <si>
    <t>Actual</t>
  </si>
  <si>
    <t>Budget</t>
  </si>
  <si>
    <t>FTE's</t>
  </si>
  <si>
    <t>Difference</t>
  </si>
  <si>
    <t xml:space="preserve">Increase/Decrease </t>
  </si>
  <si>
    <t>CENTRAL OFFICE</t>
  </si>
  <si>
    <t>SPECIAL EDUCATION / PUPIL SERVICES</t>
  </si>
  <si>
    <t>QUARRY HILL ELEMENTARY SCHOOL</t>
  </si>
  <si>
    <t>GRANITE VALLEY MIDDLE SCHOOL</t>
  </si>
  <si>
    <t>MONSON HIGH SCHOOL</t>
  </si>
  <si>
    <t>DISTRICT WIDE</t>
  </si>
  <si>
    <t>FACILITES MANAGEMENT</t>
  </si>
  <si>
    <t>ADMIN BENEFITS</t>
  </si>
  <si>
    <t>TOTAL OPERATIONAL EXPENSES</t>
  </si>
  <si>
    <t>TOWN CONTRIBUTION to NSS</t>
  </si>
  <si>
    <t>TOTAL NSS BUDGET</t>
  </si>
  <si>
    <t>DESE, PRELIMINARY NET SCHOOL SPENDING</t>
  </si>
  <si>
    <t xml:space="preserve"> BUDGET FUNDING GAP</t>
  </si>
  <si>
    <t>ACTUAL ATM APPROPIATION</t>
  </si>
  <si>
    <t xml:space="preserve">AMOUNT ABOVE/BELOW NSS </t>
  </si>
  <si>
    <t>PER PUPIL SPENDING</t>
  </si>
  <si>
    <t>SALARY</t>
  </si>
  <si>
    <t>GALARNEAU, TERESA</t>
  </si>
  <si>
    <t>HAMILTON, JULIE</t>
  </si>
  <si>
    <t>O'CONNOR, DIANNA</t>
  </si>
  <si>
    <t>CHAMBERS, NICOLE</t>
  </si>
  <si>
    <t>GILMAN, JEAN</t>
  </si>
  <si>
    <t xml:space="preserve">GUERIN, JENNIFER </t>
  </si>
  <si>
    <t>HAMILTON, JESSICA</t>
  </si>
  <si>
    <t xml:space="preserve">KUSTRA, PATRICIA </t>
  </si>
  <si>
    <t>LORD, KERIANN</t>
  </si>
  <si>
    <t>NEWTON, BRENDA</t>
  </si>
  <si>
    <t>PAFUMI, CATHERINE</t>
  </si>
  <si>
    <t>PARTLOW, TINA</t>
  </si>
  <si>
    <t>SALERNO, MICHELE</t>
  </si>
  <si>
    <t>SILVA, JENNIFER</t>
  </si>
  <si>
    <t>BRADWAY, DEBORAH</t>
  </si>
  <si>
    <t>BROWN, LAURA</t>
  </si>
  <si>
    <t>GUSTAFSON, PAMELA</t>
  </si>
  <si>
    <t>HOPE, LYNN</t>
  </si>
  <si>
    <t>HULL, SUSAN</t>
  </si>
  <si>
    <t>KEALY, TIM</t>
  </si>
  <si>
    <t>LINTON, JAMES</t>
  </si>
  <si>
    <t>McNEILL, MARYANN</t>
  </si>
  <si>
    <t>SHEEHAN, LEEANN</t>
  </si>
  <si>
    <t>VALENCOURT, REBECCA</t>
  </si>
  <si>
    <t>INN</t>
  </si>
  <si>
    <t>RAYMOND, KRISTE</t>
  </si>
  <si>
    <t>SPECIAL PROGRAM TEACHERS</t>
  </si>
  <si>
    <t>QUARRY HILL</t>
  </si>
  <si>
    <t xml:space="preserve">LINE NUMBER   </t>
  </si>
  <si>
    <t>TEACHERS</t>
  </si>
  <si>
    <t>MORONEY</t>
  </si>
  <si>
    <t>80A</t>
  </si>
  <si>
    <t>TEACH. ASST.</t>
  </si>
  <si>
    <t>BATTIGE</t>
  </si>
  <si>
    <t>SLOZAK</t>
  </si>
  <si>
    <t>96A</t>
  </si>
  <si>
    <t>SPECIALS</t>
  </si>
  <si>
    <t>80F</t>
  </si>
  <si>
    <t>BUILDING AIDE</t>
  </si>
  <si>
    <t>NURSE</t>
  </si>
  <si>
    <t>HALEY</t>
  </si>
  <si>
    <t>SECRETARY</t>
  </si>
  <si>
    <t>FOUCHER</t>
  </si>
  <si>
    <t>GRANITE VALLEY</t>
  </si>
  <si>
    <t>LINE NUMBER</t>
  </si>
  <si>
    <t>FIRST GRADE</t>
  </si>
  <si>
    <t>CUST</t>
  </si>
  <si>
    <t>PAULHUS</t>
  </si>
  <si>
    <t>O'MALLEY</t>
  </si>
  <si>
    <t>TOTAL GR. 1</t>
  </si>
  <si>
    <t>80B</t>
  </si>
  <si>
    <t>SECOND GRADE</t>
  </si>
  <si>
    <t>ROYCE</t>
  </si>
  <si>
    <t>LAFERRIERE</t>
  </si>
  <si>
    <t>BEGNOCHE</t>
  </si>
  <si>
    <t>TOTAL GR.2</t>
  </si>
  <si>
    <t>80C</t>
  </si>
  <si>
    <t xml:space="preserve"> THIRD GRADE</t>
  </si>
  <si>
    <t>NOBBS</t>
  </si>
  <si>
    <t>HURLEY</t>
  </si>
  <si>
    <t>TOTAL GR.3</t>
  </si>
  <si>
    <t>80D</t>
  </si>
  <si>
    <t>FOURTH GRADE</t>
  </si>
  <si>
    <t>ELLIS</t>
  </si>
  <si>
    <t>DEVARENNES</t>
  </si>
  <si>
    <t>TOTAL GR.4</t>
  </si>
  <si>
    <t>80E</t>
  </si>
  <si>
    <t>FIFTH GRADE</t>
  </si>
  <si>
    <t>HAMILTON</t>
  </si>
  <si>
    <t>TOTAL GR. 5</t>
  </si>
  <si>
    <t>152A</t>
  </si>
  <si>
    <t>SIXTH GRADE</t>
  </si>
  <si>
    <t>SIDDLE</t>
  </si>
  <si>
    <t>RYAN</t>
  </si>
  <si>
    <t>TOTAL GR. 6</t>
  </si>
  <si>
    <t>152B</t>
  </si>
  <si>
    <t>TOPHAM</t>
  </si>
  <si>
    <t>LIBRARY SALARIES</t>
  </si>
  <si>
    <t>MESERVE</t>
  </si>
  <si>
    <t>TEACHING ASSISTANT</t>
  </si>
  <si>
    <t>COACHES</t>
  </si>
  <si>
    <t xml:space="preserve">GUIDANCE </t>
  </si>
  <si>
    <t>MALONEY</t>
  </si>
  <si>
    <t>BUILDING AIDES</t>
  </si>
  <si>
    <t>MARTINEZ</t>
  </si>
  <si>
    <t>RUSSELL</t>
  </si>
  <si>
    <t>FEDORA</t>
  </si>
  <si>
    <t>ADM. ASST.</t>
  </si>
  <si>
    <t>JURCZYK</t>
  </si>
  <si>
    <t>SEVENTH GRADE</t>
  </si>
  <si>
    <t>CANNING</t>
  </si>
  <si>
    <t>MOONEY</t>
  </si>
  <si>
    <t>152C</t>
  </si>
  <si>
    <t>EIGHTH GRADE</t>
  </si>
  <si>
    <t>CARNEGLIA</t>
  </si>
  <si>
    <t>152D</t>
  </si>
  <si>
    <t>MATH - GR 9-12</t>
  </si>
  <si>
    <t>SITNIK</t>
  </si>
  <si>
    <t>ZIPPIN</t>
  </si>
  <si>
    <t>FOUNTAIN</t>
  </si>
  <si>
    <t>221E</t>
  </si>
  <si>
    <t>SCIENCE - GR 9-12</t>
  </si>
  <si>
    <t>MASON</t>
  </si>
  <si>
    <t>TREMBLAY</t>
  </si>
  <si>
    <t>FLETCHER</t>
  </si>
  <si>
    <t>221G</t>
  </si>
  <si>
    <t>SOC. STUDIES - GR 9-12</t>
  </si>
  <si>
    <t>VOSSEN</t>
  </si>
  <si>
    <t>GRIFFING</t>
  </si>
  <si>
    <t>ROEBUCK</t>
  </si>
  <si>
    <t>221H</t>
  </si>
  <si>
    <t>ELA -GR 9-12</t>
  </si>
  <si>
    <t>SAMA</t>
  </si>
  <si>
    <t>WALKER</t>
  </si>
  <si>
    <t>DOHERTY</t>
  </si>
  <si>
    <t>221C</t>
  </si>
  <si>
    <t>PHYSICAL ED/HEALTH</t>
  </si>
  <si>
    <t>DEGNAN - 9-12 PE</t>
  </si>
  <si>
    <t>SHAW - 7-12 PE</t>
  </si>
  <si>
    <t>EVANS - HEALTH</t>
  </si>
  <si>
    <t>221F</t>
  </si>
  <si>
    <t>SPECIALIST</t>
  </si>
  <si>
    <t>WALAT</t>
  </si>
  <si>
    <t>221J</t>
  </si>
  <si>
    <t>TECHNOLOGY ED</t>
  </si>
  <si>
    <t>PITCHER</t>
  </si>
  <si>
    <t>ART</t>
  </si>
  <si>
    <t>GIANFRIDDO</t>
  </si>
  <si>
    <t>FOREIGN LANGUAGE</t>
  </si>
  <si>
    <t>221D</t>
  </si>
  <si>
    <t>LIBRARIAN</t>
  </si>
  <si>
    <t>MORIN - LIBRARIAN</t>
  </si>
  <si>
    <t>BUSINESS</t>
  </si>
  <si>
    <t>PISCIOTTA - 7-12 BUSINESS</t>
  </si>
  <si>
    <t>221B</t>
  </si>
  <si>
    <t xml:space="preserve">SPECIAL EDUCATION </t>
  </si>
  <si>
    <t>PRE -K TEACHERS</t>
  </si>
  <si>
    <t>MURRAY</t>
  </si>
  <si>
    <t>AMERMAN</t>
  </si>
  <si>
    <t>PRESHO</t>
  </si>
  <si>
    <t>41A</t>
  </si>
  <si>
    <t>BIDUS</t>
  </si>
  <si>
    <t>AUTISM &amp; BCBA</t>
  </si>
  <si>
    <t>WATERSON</t>
  </si>
  <si>
    <t>BOLDUC</t>
  </si>
  <si>
    <t>62A</t>
  </si>
  <si>
    <t>GRADES 1-6 SPED TEACHERS</t>
  </si>
  <si>
    <t>HANSON - FOURTH GRADE</t>
  </si>
  <si>
    <t>GREENE - FIFTH GRADE</t>
  </si>
  <si>
    <t>41C</t>
  </si>
  <si>
    <t>TITLE 1 TEACHERS</t>
  </si>
  <si>
    <t>BEAULIEU</t>
  </si>
  <si>
    <t>MCCLURE</t>
  </si>
  <si>
    <t>152F</t>
  </si>
  <si>
    <t>MONSON HIGH</t>
  </si>
  <si>
    <t>CLASSROOM TEACHERS:</t>
  </si>
  <si>
    <t>CZARNIECKI</t>
  </si>
  <si>
    <t>MCNEILL</t>
  </si>
  <si>
    <t>DIONNE</t>
  </si>
  <si>
    <t>WATROBA</t>
  </si>
  <si>
    <t>41D</t>
  </si>
  <si>
    <t>LIFESKILLS TEACHERS:</t>
  </si>
  <si>
    <t>WILLIAMS</t>
  </si>
  <si>
    <t>SPEECH:</t>
  </si>
  <si>
    <t>49C</t>
  </si>
  <si>
    <t>INSTRUCTIONAL AIDES</t>
  </si>
  <si>
    <t>DILUZIO, LISA</t>
  </si>
  <si>
    <t>SUBSTITUTES</t>
  </si>
  <si>
    <t>46B</t>
  </si>
  <si>
    <t>BREN, MARIE (TA)</t>
  </si>
  <si>
    <t>DEAN, PATRICIA</t>
  </si>
  <si>
    <t>46C</t>
  </si>
  <si>
    <t>46D</t>
  </si>
  <si>
    <t>66A</t>
  </si>
  <si>
    <t>READING TUTOR:</t>
  </si>
  <si>
    <t>DESCRIPTION</t>
  </si>
  <si>
    <t>SEVERANCE PAY:</t>
  </si>
  <si>
    <t>ADVISORS:</t>
  </si>
  <si>
    <t>COACHES:</t>
  </si>
  <si>
    <t>CHEER/ADVISORS:</t>
  </si>
  <si>
    <t>GUIDANCE</t>
  </si>
  <si>
    <t>BARDWELL</t>
  </si>
  <si>
    <t>SOREL</t>
  </si>
  <si>
    <t>ROSAZZA</t>
  </si>
  <si>
    <t>MAHONEY</t>
  </si>
  <si>
    <t>MILLER</t>
  </si>
  <si>
    <t>RAMSLAND</t>
  </si>
  <si>
    <t>HAVICAN</t>
  </si>
  <si>
    <t>BINGLE, TAMARA</t>
  </si>
  <si>
    <t>45A</t>
  </si>
  <si>
    <t>COLLABORATIVE TUITION</t>
  </si>
  <si>
    <t>GRANT #262 - EEC</t>
  </si>
  <si>
    <t xml:space="preserve">DIR. OF CURRICULUM &amp; INSTRUCTION   </t>
  </si>
  <si>
    <t>OTHER TUTORS</t>
  </si>
  <si>
    <t>SCHOOL CHOICE</t>
  </si>
  <si>
    <t>47B</t>
  </si>
  <si>
    <t>MANNELLO, MELISSA</t>
  </si>
  <si>
    <t>OUTSIDE SERVICE</t>
  </si>
  <si>
    <t>12a</t>
  </si>
  <si>
    <t>12b</t>
  </si>
  <si>
    <t>12c</t>
  </si>
  <si>
    <t>12d</t>
  </si>
  <si>
    <t>164b</t>
  </si>
  <si>
    <t>164c</t>
  </si>
  <si>
    <t>STEPHENS</t>
  </si>
  <si>
    <t>NASH</t>
  </si>
  <si>
    <t>CARDIN</t>
  </si>
  <si>
    <t>HYATT</t>
  </si>
  <si>
    <t>DREHER</t>
  </si>
  <si>
    <t>GUIDANCE GRANT</t>
  </si>
  <si>
    <t>FY'21</t>
  </si>
  <si>
    <t>47A</t>
  </si>
  <si>
    <t>CLARK</t>
  </si>
  <si>
    <t>DEMAIO</t>
  </si>
  <si>
    <t>152E</t>
  </si>
  <si>
    <t>COMMENTS OR QUESTIONS</t>
  </si>
  <si>
    <t>DEAN/SPED COORDINATOR</t>
  </si>
  <si>
    <t>CBO</t>
  </si>
  <si>
    <t>POULIN</t>
  </si>
  <si>
    <t>ST.MARIE</t>
  </si>
  <si>
    <t>SCHUBACH</t>
  </si>
  <si>
    <t>WAYSON</t>
  </si>
  <si>
    <t>ADMINISTRATION</t>
  </si>
  <si>
    <t>METZGER</t>
  </si>
  <si>
    <t>FOULIS</t>
  </si>
  <si>
    <t>WATTS</t>
  </si>
  <si>
    <t>TRIVISONNO</t>
  </si>
  <si>
    <t>METHE</t>
  </si>
  <si>
    <t>Business and Finance Officer</t>
  </si>
  <si>
    <t>CLARKE</t>
  </si>
  <si>
    <t>ECC PRINCIPAL</t>
  </si>
  <si>
    <t>DIRECTOR OF STUDENT SERVICES</t>
  </si>
  <si>
    <t>TITLE IIA</t>
  </si>
  <si>
    <t>SP.ED. COORDINATOR (FORMERLY OUTREACH SALARY)</t>
  </si>
  <si>
    <t>BRASSARD</t>
  </si>
  <si>
    <t>CLUBS, CLASS ADVISORS</t>
  </si>
  <si>
    <t xml:space="preserve">GARCES </t>
  </si>
  <si>
    <t>HOGAN -  GR 4-8 PE/HEALTH  .66</t>
  </si>
  <si>
    <t>EARLY CHILDHOOD CENTER</t>
  </si>
  <si>
    <t>E.C.C. DEAN OF STUDENTS/ASST. PRINCIPAL SALARY</t>
  </si>
  <si>
    <t>E.C.C. OFFICE SUPPLIES</t>
  </si>
  <si>
    <t>E.C.C. POSTAGE</t>
  </si>
  <si>
    <t>E.C.C. PRINTING</t>
  </si>
  <si>
    <t>E.C.C. ADMIN TRAVEL/CONF EXP</t>
  </si>
  <si>
    <t xml:space="preserve">E.C.C. - KINDERGARTEN TEACHERS' SALS     </t>
  </si>
  <si>
    <t xml:space="preserve">E.C.C. - GR 1 TEACHERS' SALARIES         </t>
  </si>
  <si>
    <t xml:space="preserve">E.C.C. - GR 2 TEACHERS' SALARIES        </t>
  </si>
  <si>
    <t xml:space="preserve">E.C.C. - GR 3 TEACHERS' SALARIES         </t>
  </si>
  <si>
    <t xml:space="preserve">E.C.C. - GR 4 TEACHERS' SALARIES       </t>
  </si>
  <si>
    <t>E.C.C. - LITERACY TEACHERS' SALARIES    Title 1</t>
  </si>
  <si>
    <t xml:space="preserve">E.C.C. TEAM LEADERS' SALARIES </t>
  </si>
  <si>
    <t>E.C.C. ASSEMBLIES/AWARDS</t>
  </si>
  <si>
    <t>E.C.C. MATH TEXTBOOKS</t>
  </si>
  <si>
    <t>E.C.C. SCIENCE TEXTBOOKS</t>
  </si>
  <si>
    <t>E.C.C. READING TEXTBOOKS</t>
  </si>
  <si>
    <t>E.C.C. LANGUAGE ARTS TEXTBOOKS</t>
  </si>
  <si>
    <t>E.C.C. SOCIAL STUDIES TEXTBOOKS</t>
  </si>
  <si>
    <t xml:space="preserve">E.C.C. INSTR./GEN. SUPPLIES </t>
  </si>
  <si>
    <t>E.C.C. LANGUAGE LEARNER TEACHER, RR, Title 1</t>
  </si>
  <si>
    <t>E.C.C. LIBRARY SUPPLIES</t>
  </si>
  <si>
    <t>E.C.C. BOOKS, MAGAZINES, AND SOFTWARE</t>
  </si>
  <si>
    <t>E.C.C. AV REPAIRS &amp; SUPPLIES</t>
  </si>
  <si>
    <t>E.C.C. TUTORS</t>
  </si>
  <si>
    <t xml:space="preserve">E.C.C. - KIND TEACHING ASSTS' SALS.   </t>
  </si>
  <si>
    <t xml:space="preserve">E.C.C. - LIBRARY TEACHING ASSTS' SALS.  </t>
  </si>
  <si>
    <t>E.C.C. GUIDANCE SALARIES</t>
  </si>
  <si>
    <t>E.C.C. -SPECIALIST TEACHERS SALARIES</t>
  </si>
  <si>
    <t>E.C.C. PRINCIPAL -PROFESSIONAL DEVELOPMENT</t>
  </si>
  <si>
    <t>GRANITE VALLEY SCHOOL</t>
  </si>
  <si>
    <t xml:space="preserve">G.V.S. PRINCIPAL'S SALARY         </t>
  </si>
  <si>
    <t>G.V.S. ASSISTANT PRINCIPAL'S SALARY</t>
  </si>
  <si>
    <t>G.V.S. OFFICE SUPPLIES</t>
  </si>
  <si>
    <t>G.V.S. POSTAGE</t>
  </si>
  <si>
    <t>G.V.S. PRINTING</t>
  </si>
  <si>
    <t>G.V.S. ADMIN TRAVEL/CONF EXP</t>
  </si>
  <si>
    <t>G.V.S. OTHER ACTIVITIES EXP.</t>
  </si>
  <si>
    <t xml:space="preserve">G.V.S. BUSINESS/COMPUTERS TEXTBOOKS </t>
  </si>
  <si>
    <t xml:space="preserve">G.V.S. HEALTH TEXTBOOKS </t>
  </si>
  <si>
    <t xml:space="preserve">G.V.S. LANGUAGE ARTS TEXTBOOKS </t>
  </si>
  <si>
    <t xml:space="preserve">G.V.S. WORLD LANGUAGE TEXTBOOKS </t>
  </si>
  <si>
    <t xml:space="preserve">G.V.S. REBINDING TEXTBOOKS </t>
  </si>
  <si>
    <t xml:space="preserve">G.V.S. ENGLISH TEXTBOOKS </t>
  </si>
  <si>
    <t xml:space="preserve">G.V.S. MATH TEXTBOOKS </t>
  </si>
  <si>
    <t xml:space="preserve">G.V.S. SCIENCE TEXTBOOKS </t>
  </si>
  <si>
    <t xml:space="preserve">G.V.S. SOCIAL STUDIES TEXTBOOKS </t>
  </si>
  <si>
    <t>G.V.S. TEXTBOOKS -ADDTL/REPLACEMENTS</t>
  </si>
  <si>
    <t xml:space="preserve">G.V.S. INSTR./GEN. SUPPLIES </t>
  </si>
  <si>
    <t>G.V.S. LIBRARY SUPPLIES</t>
  </si>
  <si>
    <t>G.V.S. BOOKS/MAGAZINES/SOFTWARE</t>
  </si>
  <si>
    <t>G.V.S. AV REPAIRS &amp; SUPPLIES</t>
  </si>
  <si>
    <t>G.V.S. SCHOOL SECRETARIES SALS, BASE</t>
  </si>
  <si>
    <t>G.V.S. TUTORS  / COACHES</t>
  </si>
  <si>
    <t>E.C.C. PRINCIPAL'S SALARY</t>
  </si>
  <si>
    <t>M.H.S. PRINCIPAL'S SALARY</t>
  </si>
  <si>
    <t>M.H.S. AP</t>
  </si>
  <si>
    <t>M.H.S. OFFICE SUPPLIES</t>
  </si>
  <si>
    <t>M.H.S. POSTAGE</t>
  </si>
  <si>
    <t>M.H.S. PRINTING</t>
  </si>
  <si>
    <t>M.H.S. ADMIN TRAVEL/CONF EXP</t>
  </si>
  <si>
    <t>M.H.S. OTHER ACTIVITIES EXP.</t>
  </si>
  <si>
    <t xml:space="preserve">M.H.S. - ART TEACHERS' SALARIES     </t>
  </si>
  <si>
    <t>M.H.S. - BUSINESS/COMPUTER TCHRS' SALS</t>
  </si>
  <si>
    <t>M.H.S. - ENGLISH TEACHERS' SALARIES</t>
  </si>
  <si>
    <t xml:space="preserve">M.H.S. - FOREIGN LANG TEACHERS' SALS </t>
  </si>
  <si>
    <t xml:space="preserve">M.H.S. - MATH TEACHERS' SALARIES   </t>
  </si>
  <si>
    <t xml:space="preserve">M.H.S. - HEALTH/PHYS ED TEACHERS' SALS  </t>
  </si>
  <si>
    <t xml:space="preserve">M.H.S. - SCIENCE TEACHERS' SALARIES    </t>
  </si>
  <si>
    <t xml:space="preserve">M.H.S. - SOCIAL STUDIES TEACHERS' SALS </t>
  </si>
  <si>
    <t>M.H.S. - TECHNOLOGY</t>
  </si>
  <si>
    <t xml:space="preserve">M.H.S. - SPECIALIST TEACHERS' SALARIES </t>
  </si>
  <si>
    <t>M.H.S. ASSEMBLIES/AWARDS</t>
  </si>
  <si>
    <t xml:space="preserve">M.H.S. MUSIC TEXTBOOKS </t>
  </si>
  <si>
    <t xml:space="preserve">M.H.S. HEALTH TEXTBOOKS </t>
  </si>
  <si>
    <t xml:space="preserve">M.H.S. FRENCH TEXTBOOKS </t>
  </si>
  <si>
    <t xml:space="preserve">M.H.S. SPANISH TEXTBOOKS </t>
  </si>
  <si>
    <t xml:space="preserve">M.H.S. MATH TEXTBOOKS </t>
  </si>
  <si>
    <t xml:space="preserve">M.H.S. SCIENCE TEXTBOOKS </t>
  </si>
  <si>
    <t xml:space="preserve">M.H.S. REBINDING TEXTBOOKS </t>
  </si>
  <si>
    <t>M.H.S. SOCIAL STUDIES TEXTBOOKS</t>
  </si>
  <si>
    <t>M.H.S. BUSINESS/COMPUTERS TEXTBOOKS</t>
  </si>
  <si>
    <t>M.H.S. ENGLISH TEXTBOOKS</t>
  </si>
  <si>
    <t>M.H.S. TEXTBOOKS -ADDTL/REPLACEMENTS</t>
  </si>
  <si>
    <t>M.H.S. LIBRARY SUPPLIES</t>
  </si>
  <si>
    <t>M.H.S. BOOKS/MAGAZINES/SOFTWARE</t>
  </si>
  <si>
    <t>M.H.S. AV REPAIRS &amp; SUPPLIES</t>
  </si>
  <si>
    <t>M.H.S. TUTORS</t>
  </si>
  <si>
    <t>M.H.S. BUILDING AIDES SALS</t>
  </si>
  <si>
    <t>M.H.S. PRINCIPAL-PROFESSIONAL DEVELOPMENT</t>
  </si>
  <si>
    <t xml:space="preserve">M.H.S.GR 7 TEACHERS' SALARIES   </t>
  </si>
  <si>
    <t>M.H.S. GR 8 TEACHERS' SALARIES</t>
  </si>
  <si>
    <t>COPIER/DUPL SUPPLIES - E.C.C.</t>
  </si>
  <si>
    <t>COPIER/DUPL SUPPLIES - G.V.S.</t>
  </si>
  <si>
    <t>COPIER/DUPL SUPPLIES - M.H.S.</t>
  </si>
  <si>
    <t>COPIER PAPER - E.C.C.</t>
  </si>
  <si>
    <t>COPIER PAPER - G.V.S.</t>
  </si>
  <si>
    <t>COPIER PAPER - M.H.S.</t>
  </si>
  <si>
    <t>TECH REPLACEMENT - E.C.C. HARDWARE</t>
  </si>
  <si>
    <t>TECH REPLACEMENT - G.V.S. HARDWARE</t>
  </si>
  <si>
    <t>TECH REPLACEMENT - M.H.S. HARDWARE</t>
  </si>
  <si>
    <t>TECH REPLACEMENT - E.C.C. SOFTWARE</t>
  </si>
  <si>
    <t>TECH REPLACEMENT - G.V.S. SOFTWARE</t>
  </si>
  <si>
    <t>TECH REPLACEMENT - M.H.S. SOFTWARE</t>
  </si>
  <si>
    <t>SUPPLIES, MATERIALS, &amp; REPAIRS - E.C.C.</t>
  </si>
  <si>
    <t>SUPPLIES, MATERIALS, &amp; REPAIRS - G.V.S.</t>
  </si>
  <si>
    <t>SUPPLIES, MATERIALS, &amp; REPAIRS - M.H.S.</t>
  </si>
  <si>
    <t>FUEL OIL (#2), E.C.C.</t>
  </si>
  <si>
    <t>FUEL OIL (#2), G.V.S.</t>
  </si>
  <si>
    <t>FUEL OIL (#2), M.H.S.</t>
  </si>
  <si>
    <t>ELECTRICITY G.V.S.</t>
  </si>
  <si>
    <t>ELECTRICITY M.H.S.</t>
  </si>
  <si>
    <t>ELECTRICITY E.C.C.</t>
  </si>
  <si>
    <t>SPRINKLER SYSTEM MAINTENANCE - M.H.S.</t>
  </si>
  <si>
    <t>SPRINKLER SYSTEM MAINTENANCE - G.V.S.</t>
  </si>
  <si>
    <t>FIRE ALARM SYSTEM - M.H.S.</t>
  </si>
  <si>
    <t>FIRE ALARM SYSTEM - E.C.C.</t>
  </si>
  <si>
    <t>FIRE ALARM SYSTEM - G.V.S.</t>
  </si>
  <si>
    <t>E.C.C. MAINTENANCE</t>
  </si>
  <si>
    <t>G.V.S. MAINTENANCE</t>
  </si>
  <si>
    <t>M.H.S. MAINTENANCE</t>
  </si>
  <si>
    <t>M.H.S. EQUIPMENT MAINTENANCE</t>
  </si>
  <si>
    <t>G.V.S. - LITERACY TEACHERS' SALARIES    Title 1</t>
  </si>
  <si>
    <t>Part time Clerk Position  CBO</t>
  </si>
  <si>
    <t>SPECIAL EDUCATION -REVENUE TOTAL</t>
  </si>
  <si>
    <t>GENERAL EDUCATION - REVENUE TOTAL</t>
  </si>
  <si>
    <t>FY'22</t>
  </si>
  <si>
    <t>FY '21</t>
  </si>
  <si>
    <t>HEALTH AMBASSADOR</t>
  </si>
  <si>
    <t xml:space="preserve">CLASS/BLOCK STIPENDS </t>
  </si>
  <si>
    <t xml:space="preserve">EXTRA BLOCKS </t>
  </si>
  <si>
    <t>BELLVILLE</t>
  </si>
  <si>
    <t>ALMEIDA</t>
  </si>
  <si>
    <t>CASIMIRO</t>
  </si>
  <si>
    <t>BAUMAN</t>
  </si>
  <si>
    <t>NICHOLS - MUSIC</t>
  </si>
  <si>
    <t>NOVAK - ART</t>
  </si>
  <si>
    <t>PAGLIARO - PE</t>
  </si>
  <si>
    <t>RUTKOWSKI - MUSIC</t>
  </si>
  <si>
    <t xml:space="preserve">PRENTISS </t>
  </si>
  <si>
    <t>CLIFFORD</t>
  </si>
  <si>
    <t>ESPOSITO</t>
  </si>
  <si>
    <t>THORNE</t>
  </si>
  <si>
    <t>BATCH    .66</t>
  </si>
  <si>
    <t>DEARING</t>
  </si>
  <si>
    <t>LADUE    .8</t>
  </si>
  <si>
    <t>RELIHAN</t>
  </si>
  <si>
    <t>CIRELLI - FIRST GRADE</t>
  </si>
  <si>
    <t>LANGUAGE LEARNER</t>
  </si>
  <si>
    <t>LANGONE    .8</t>
  </si>
  <si>
    <t>DARLING, M.</t>
  </si>
  <si>
    <t>QUINN</t>
  </si>
  <si>
    <t>NEW HIRE</t>
  </si>
  <si>
    <t xml:space="preserve"> PASHCHENKO REPLACEMENT</t>
  </si>
  <si>
    <t xml:space="preserve"> WARREN REPLACEMENT</t>
  </si>
  <si>
    <t>OCC THERAPIST:</t>
  </si>
  <si>
    <t>BALICKI, ALINA</t>
  </si>
  <si>
    <t>DESANTIS, ANNE</t>
  </si>
  <si>
    <t>MARTINS, SARAH</t>
  </si>
  <si>
    <t>STROM, CASSANDRA</t>
  </si>
  <si>
    <t>VACON, MONIQUE</t>
  </si>
  <si>
    <t>DUFFY, MICHAEL</t>
  </si>
  <si>
    <t>DAVIS, ADRIENNE - HS</t>
  </si>
  <si>
    <t>LEFEBVRE, KRISTYN  - GV</t>
  </si>
  <si>
    <t>SALERNO, DANIELE - HS</t>
  </si>
  <si>
    <t>SICILIANO, LORI - HS</t>
  </si>
  <si>
    <t>MAINTENANCE:</t>
  </si>
  <si>
    <t>DEMAIO    .6</t>
  </si>
  <si>
    <t>AINSWORTH    .5</t>
  </si>
  <si>
    <t>CALLAHAN</t>
  </si>
  <si>
    <t>FARREN</t>
  </si>
  <si>
    <t>GALANEK</t>
  </si>
  <si>
    <t>KINLEY</t>
  </si>
  <si>
    <t>NUTE</t>
  </si>
  <si>
    <t>TETRAULT    10%</t>
  </si>
  <si>
    <t>TETRAULT    90%</t>
  </si>
  <si>
    <t>9A</t>
  </si>
  <si>
    <t>OVERTIME</t>
  </si>
  <si>
    <t>12C</t>
  </si>
  <si>
    <t>12A</t>
  </si>
  <si>
    <t>12B</t>
  </si>
  <si>
    <t>12D</t>
  </si>
  <si>
    <t>303A</t>
  </si>
  <si>
    <t>303B</t>
  </si>
  <si>
    <t>303a</t>
  </si>
  <si>
    <t>GRANTS COORDINATOR STIPEND</t>
  </si>
  <si>
    <t>CARES/ESSER FUNDING</t>
  </si>
  <si>
    <t>SPEECH CONTRACTED SERVICES</t>
  </si>
  <si>
    <t xml:space="preserve">BILOTTI   </t>
  </si>
  <si>
    <t>(20K COMFIRMED TO BE COVERED BY GRANT - INCLUDED IN REVENUES)</t>
  </si>
  <si>
    <t xml:space="preserve">KOWALYSHYN </t>
  </si>
  <si>
    <t>KOWALYSHYN   OT</t>
  </si>
  <si>
    <t>JURCZYK     OT</t>
  </si>
  <si>
    <t>MADE</t>
  </si>
  <si>
    <t>BRIN</t>
  </si>
  <si>
    <t xml:space="preserve"> 3 HRS DAILY - BASE RATE X 1.02 </t>
  </si>
  <si>
    <t>TLC - LOWER/UPPER</t>
  </si>
  <si>
    <t>NEW HIRE - UPPER</t>
  </si>
  <si>
    <t>DUCHARME - FIRST GRADE</t>
  </si>
  <si>
    <t>SHERMAN - SECOND GRADE</t>
  </si>
  <si>
    <t>STELLO - THIRD GRADE</t>
  </si>
  <si>
    <t>NEW HIRE - SIXTH GRADE</t>
  </si>
  <si>
    <t>BALANCE TO BE PAID FROM TRANSPORTATION BUDGET</t>
  </si>
  <si>
    <t>NEW HIRE?</t>
  </si>
  <si>
    <t>CHAMPAGNE</t>
  </si>
  <si>
    <t>HUDAK</t>
  </si>
  <si>
    <t>NEW HIRE 7/8 GRADE</t>
  </si>
  <si>
    <t>REASSIGNED TO CLASSROOM</t>
  </si>
  <si>
    <t>2000/766</t>
  </si>
  <si>
    <t xml:space="preserve">66A </t>
  </si>
  <si>
    <t>paid via #262 grant in the revenue section of the budget worksheet</t>
  </si>
  <si>
    <t>ECC</t>
  </si>
  <si>
    <t>GV</t>
  </si>
  <si>
    <t>MHS</t>
  </si>
  <si>
    <t>TOTAL - 1:1 AIDES/C.N.A.'s</t>
  </si>
  <si>
    <t>TOTAL - INCLUSION</t>
  </si>
  <si>
    <t>TOTAL - PRESCHOOL</t>
  </si>
  <si>
    <t xml:space="preserve">TOTAL OF ALL 1:1 AIDES/C.N.A.'S  </t>
  </si>
  <si>
    <t>CUSTODIAL SUPPLIES - ALL SCHOOLS</t>
  </si>
  <si>
    <t>319a</t>
  </si>
  <si>
    <t>319b</t>
  </si>
  <si>
    <t>319c</t>
  </si>
  <si>
    <t>IN-HOUSE MATERIALS FOR REPAIRS - MHS</t>
  </si>
  <si>
    <t>CONTRACTED SERVICES - SYSTEM CONTROLS &amp; HVAC</t>
  </si>
  <si>
    <t>LICENSING - SECURITY</t>
  </si>
  <si>
    <t>PLUMBING</t>
  </si>
  <si>
    <t>322d</t>
  </si>
  <si>
    <t>IN HOUSE MATERIALS FOR REPAIRS - GV</t>
  </si>
  <si>
    <t>IN HOUSE MATERIALS FOR REPAIRS - QH</t>
  </si>
  <si>
    <t>321a</t>
  </si>
  <si>
    <t>ELECTRIAL</t>
  </si>
  <si>
    <t>PRESCHOOL REVENUE</t>
  </si>
  <si>
    <t>?? ASSIGNMENT</t>
  </si>
  <si>
    <t>NEW HIRE - L. ZIPPIN REPLACE</t>
  </si>
  <si>
    <t>SP.ED. OT SALARY</t>
  </si>
  <si>
    <t>TLC - LOWER &amp; UPPER</t>
  </si>
  <si>
    <t>C.N.A's &amp; 1:1 INTRUCTIONAL AIDES</t>
  </si>
  <si>
    <t>SP.ED. ECC INSTR. AIDES' SALS    (INCLUSION)</t>
  </si>
  <si>
    <t>SP.ED. GV INSTR. AIDES' SALS   (INCLUSION)</t>
  </si>
  <si>
    <t>SP.ED. MHS INSTR. AIDES' SALS   (INCLUSION)</t>
  </si>
  <si>
    <t xml:space="preserve">G.V.S. - GR 1 TEACHERS' SALARIES         </t>
  </si>
  <si>
    <t xml:space="preserve">G.V.S. - GR 2 TEACHERS' SALARIES        </t>
  </si>
  <si>
    <t xml:space="preserve">G.V.S. - GR 3 TEACHERS' SALARIES         </t>
  </si>
  <si>
    <t xml:space="preserve">G.V.S. - GR 4 TEACHERS' SALARIES       </t>
  </si>
  <si>
    <t xml:space="preserve">G.V.S. - GR 5 TEACHERS' SALARIES    </t>
  </si>
  <si>
    <t>G.V.S. - GR 6 TEACHERS' SALARIES</t>
  </si>
  <si>
    <t xml:space="preserve">G.V.S. - GR 7 TEACHERS' SALARIES   </t>
  </si>
  <si>
    <t>G.V.S. - GR 8 TEACHERS' SALARIES</t>
  </si>
  <si>
    <t>PRINCIPAL'S PROFESSIONAL DEVELOPMENT</t>
  </si>
  <si>
    <t>G.V.S. - SPECIALIST TEACHERS' SALARIES, ENCORE</t>
  </si>
  <si>
    <t>G.V.S. - SPECIALIST TEACHERS' SALARIES, TITLE 1</t>
  </si>
  <si>
    <t>G.V.S. - TEAM LEADERS SALARIES</t>
  </si>
  <si>
    <t>M.H.S. INSTRUCTIONAL &amp; GENERAL SUPPLIES</t>
  </si>
  <si>
    <t>M.H.S. - TEAM LEADERS/ADVISORS SALS</t>
  </si>
  <si>
    <t>M.H.S  - SCHOOL SECRETARIES SALS, BASE</t>
  </si>
  <si>
    <t xml:space="preserve">REQUIRED MEDICAL DEVICES </t>
  </si>
  <si>
    <t>NEW PART TIME TECH</t>
  </si>
  <si>
    <t xml:space="preserve">TOTAL </t>
  </si>
  <si>
    <t>NEW AP</t>
  </si>
  <si>
    <t>NEW</t>
  </si>
  <si>
    <t>AFTERSCHOOL PROGRAM</t>
  </si>
  <si>
    <t>CUT TO BUDGET LINE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</si>
</sst>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"/>
    <numFmt numFmtId="166" formatCode="General_)"/>
    <numFmt numFmtId="167" formatCode="&quot;$&quot;#,##0"/>
    <numFmt numFmtId="168" formatCode="#,##0.0_);[Red]\(#,##0.0\)"/>
    <numFmt numFmtId="169" formatCode="0.00_);\(0.00\)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Courier"/>
      <family val="3"/>
    </font>
    <font>
      <b/>
      <strike/>
      <sz val="10.5"/>
      <name val="Times New Roman"/>
      <family val="1"/>
    </font>
    <font>
      <strike/>
      <sz val="10.5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color indexed="23"/>
      <name val="Times New Roman"/>
      <family val="1"/>
    </font>
    <font>
      <sz val="8"/>
      <color indexed="23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22"/>
      <name val="Times New Roman"/>
      <family val="1"/>
    </font>
    <font>
      <sz val="8"/>
      <color indexed="8"/>
      <name val="Times New Roman"/>
      <family val="1"/>
    </font>
    <font>
      <b/>
      <sz val="11"/>
      <color indexed="62"/>
      <name val="Calibri"/>
      <family val="2"/>
    </font>
    <font>
      <b/>
      <sz val="11"/>
      <color indexed="30"/>
      <name val="Calibri"/>
      <family val="2"/>
    </font>
    <font>
      <sz val="10.5"/>
      <color indexed="23"/>
      <name val="Times New Roman"/>
      <family val="1"/>
    </font>
    <font>
      <b/>
      <sz val="10.5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1"/>
      <color indexed="21"/>
      <name val="Calibri"/>
      <family val="2"/>
    </font>
    <font>
      <sz val="10.5"/>
      <color indexed="10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rgb="FFC0C0C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8" tint="-0.4999699890613556"/>
      <name val="Calibri"/>
      <family val="2"/>
    </font>
    <font>
      <b/>
      <sz val="11"/>
      <color rgb="FF0070C0"/>
      <name val="Calibri"/>
      <family val="2"/>
    </font>
    <font>
      <sz val="10.5"/>
      <color theme="0" tint="-0.4999699890613556"/>
      <name val="Times New Roman"/>
      <family val="1"/>
    </font>
    <font>
      <b/>
      <sz val="10.5"/>
      <color theme="1"/>
      <name val="Times New Roman"/>
      <family val="1"/>
    </font>
    <font>
      <sz val="11"/>
      <color rgb="FF00B0F0"/>
      <name val="Calibri"/>
      <family val="2"/>
    </font>
    <font>
      <b/>
      <sz val="11"/>
      <color rgb="FF00729A"/>
      <name val="Calibri"/>
      <family val="2"/>
    </font>
    <font>
      <sz val="10.5"/>
      <color rgb="FFFF0000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5"/>
      </left>
      <right style="medium"/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medium">
        <color indexed="55"/>
      </bottom>
    </border>
    <border>
      <left style="thin">
        <color indexed="55"/>
      </left>
      <right style="thin">
        <color indexed="55"/>
      </right>
      <top style="medium"/>
      <bottom style="medium">
        <color indexed="55"/>
      </bottom>
    </border>
    <border>
      <left>
        <color indexed="63"/>
      </left>
      <right>
        <color indexed="63"/>
      </right>
      <top style="medium"/>
      <bottom style="medium">
        <color indexed="55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55"/>
      </left>
      <right style="thin">
        <color indexed="55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969696"/>
      </left>
      <right style="medium">
        <color rgb="FF969696"/>
      </right>
      <top style="thin">
        <color indexed="23"/>
      </top>
      <bottom style="medium"/>
    </border>
    <border>
      <left style="medium">
        <color rgb="FF969696"/>
      </left>
      <right style="medium">
        <color rgb="FF969696"/>
      </right>
      <top style="thin">
        <color indexed="23"/>
      </top>
      <bottom style="thin">
        <color indexed="23"/>
      </bottom>
    </border>
    <border>
      <left style="medium">
        <color rgb="FF969696"/>
      </left>
      <right style="medium">
        <color rgb="FF969696"/>
      </right>
      <top style="thin">
        <color indexed="55"/>
      </top>
      <bottom style="thin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>
        <color indexed="55"/>
      </left>
      <right style="thin">
        <color indexed="55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>
        <color indexed="55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/>
    </border>
    <border>
      <left style="medium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55"/>
      </right>
      <top style="medium"/>
      <bottom>
        <color indexed="63"/>
      </bottom>
    </border>
    <border>
      <left style="thin">
        <color indexed="55"/>
      </left>
      <right style="medium">
        <color indexed="55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>
        <color indexed="55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dashed"/>
    </border>
    <border>
      <left style="medium">
        <color indexed="55"/>
      </left>
      <right style="medium">
        <color indexed="55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dashed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thin"/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dashed"/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55"/>
      </top>
      <bottom style="medium"/>
    </border>
    <border>
      <left style="medium">
        <color rgb="FF969696"/>
      </left>
      <right>
        <color indexed="63"/>
      </right>
      <top style="thin">
        <color indexed="55"/>
      </top>
      <bottom style="thin">
        <color indexed="23"/>
      </bottom>
    </border>
    <border>
      <left style="medium">
        <color rgb="FF969696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rgb="FF969696"/>
      </left>
      <right>
        <color indexed="63"/>
      </right>
      <top style="thin">
        <color indexed="23"/>
      </top>
      <bottom style="medium"/>
    </border>
    <border>
      <left style="medium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/>
      <top>
        <color indexed="63"/>
      </top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 style="thin"/>
      <top style="thin">
        <color theme="0" tint="-0.4999699890613556"/>
      </top>
      <bottom style="thin">
        <color theme="0" tint="-0.3499799966812134"/>
      </bottom>
    </border>
    <border>
      <left style="medium">
        <color theme="0" tint="-0.3499799966812134"/>
      </left>
      <right style="thin"/>
      <top style="thin">
        <color theme="0" tint="-0.3499799966812134"/>
      </top>
      <bottom style="thin">
        <color theme="0" tint="-0.4999699890613556"/>
      </bottom>
    </border>
    <border>
      <left style="medium">
        <color theme="0" tint="-0.3499799966812134"/>
      </left>
      <right style="thin"/>
      <top>
        <color indexed="63"/>
      </top>
      <bottom style="thin">
        <color theme="0" tint="-0.4999699890613556"/>
      </bottom>
    </border>
    <border>
      <left style="medium">
        <color theme="0" tint="-0.3499799966812134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 style="medium"/>
    </border>
    <border>
      <left style="medium">
        <color theme="0" tint="-0.3499799966812134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theme="0" tint="-0.3499799966812134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 style="medium">
        <color indexed="55"/>
      </right>
      <top style="thin">
        <color theme="0" tint="-0.4999699890613556"/>
      </top>
      <bottom style="thin">
        <color indexed="55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theme="0" tint="-0.3499799966812134"/>
      </left>
      <right style="medium">
        <color indexed="55"/>
      </right>
      <top style="thin">
        <color indexed="55"/>
      </top>
      <bottom style="medium"/>
    </border>
    <border>
      <left style="medium">
        <color theme="0" tint="-0.3499799966812134"/>
      </left>
      <right style="medium">
        <color rgb="FF969696"/>
      </right>
      <top>
        <color indexed="63"/>
      </top>
      <bottom style="thin">
        <color indexed="23"/>
      </bottom>
    </border>
    <border>
      <left style="medium">
        <color theme="0" tint="-0.3499799966812134"/>
      </left>
      <right style="medium">
        <color indexed="55"/>
      </right>
      <top style="thin">
        <color indexed="23"/>
      </top>
      <bottom style="thin">
        <color indexed="23"/>
      </bottom>
    </border>
    <border>
      <left style="medium">
        <color theme="0" tint="-0.3499799966812134"/>
      </left>
      <right style="medium">
        <color indexed="55"/>
      </right>
      <top style="thin">
        <color indexed="23"/>
      </top>
      <bottom>
        <color indexed="63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 style="thin">
        <color indexed="23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4999699890613556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rgb="FF969696"/>
      </right>
      <top style="thin">
        <color indexed="23"/>
      </top>
      <bottom style="medium"/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 style="medium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22"/>
      </top>
      <bottom style="medium"/>
    </border>
    <border>
      <left style="medium">
        <color theme="0" tint="-0.3499799966812134"/>
      </left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23"/>
      </bottom>
    </border>
    <border>
      <left style="medium">
        <color indexed="55"/>
      </left>
      <right style="medium">
        <color indexed="55"/>
      </right>
      <top style="medium"/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>
        <color indexed="55"/>
      </left>
      <right>
        <color indexed="63"/>
      </right>
      <top style="medium"/>
      <bottom style="medium"/>
    </border>
    <border>
      <left style="medium">
        <color theme="0" tint="-0.3499799966812134"/>
      </left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>
        <color theme="0" tint="-0.3499799966812134"/>
      </left>
      <right style="medium"/>
      <top style="thin">
        <color indexed="55"/>
      </top>
      <bottom style="thin">
        <color indexed="55"/>
      </bottom>
    </border>
    <border>
      <left style="medium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/>
      <top>
        <color indexed="63"/>
      </top>
      <bottom>
        <color indexed="63"/>
      </bottom>
    </border>
    <border>
      <left style="medium">
        <color theme="0" tint="-0.3499799966812134"/>
      </left>
      <right style="medium"/>
      <top>
        <color indexed="63"/>
      </top>
      <bottom style="medium"/>
    </border>
    <border>
      <left style="medium">
        <color theme="0" tint="-0.3499799966812134"/>
      </left>
      <right style="medium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thin">
        <color indexed="22"/>
      </top>
      <bottom style="medium"/>
    </border>
    <border>
      <left style="medium">
        <color indexed="55"/>
      </left>
      <right style="medium">
        <color indexed="55"/>
      </right>
      <top style="thin">
        <color indexed="22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medium"/>
      <bottom style="medium"/>
    </border>
    <border>
      <left style="medium">
        <color indexed="55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>
        <color theme="0" tint="-0.3499799966812134"/>
      </right>
      <top style="medium"/>
      <bottom style="medium"/>
    </border>
    <border>
      <left style="medium"/>
      <right style="medium">
        <color indexed="55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4999699890613556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4999699890613556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/>
      <top style="medium"/>
      <bottom style="medium"/>
    </border>
    <border>
      <left style="medium">
        <color theme="0" tint="-0.3499799966812134"/>
      </left>
      <right style="medium">
        <color indexed="55"/>
      </right>
      <top style="thin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>
        <color theme="0" tint="-0.3499799966812134"/>
      </left>
      <right>
        <color indexed="63"/>
      </right>
      <top style="medium"/>
      <bottom>
        <color indexed="63"/>
      </bottom>
    </border>
    <border>
      <left style="medium">
        <color rgb="FF969696"/>
      </left>
      <right style="medium">
        <color rgb="FF969696"/>
      </right>
      <top>
        <color indexed="63"/>
      </top>
      <bottom style="thin">
        <color indexed="23"/>
      </bottom>
    </border>
    <border>
      <left style="medium">
        <color rgb="FF969696"/>
      </left>
      <right>
        <color indexed="63"/>
      </right>
      <top>
        <color indexed="63"/>
      </top>
      <bottom style="thin">
        <color indexed="23"/>
      </bottom>
    </border>
    <border>
      <left style="medium">
        <color rgb="FF969696"/>
      </left>
      <right style="medium">
        <color rgb="FF969696"/>
      </right>
      <top style="medium"/>
      <bottom style="medium"/>
    </border>
    <border>
      <left style="medium">
        <color rgb="FF969696"/>
      </left>
      <right>
        <color indexed="63"/>
      </right>
      <top style="medium"/>
      <bottom style="medium"/>
    </border>
    <border>
      <left style="medium">
        <color indexed="23"/>
      </left>
      <right style="medium">
        <color indexed="23"/>
      </right>
      <top style="medium"/>
      <bottom style="medium"/>
    </border>
    <border>
      <left style="medium">
        <color indexed="23"/>
      </left>
      <right>
        <color indexed="63"/>
      </right>
      <top style="medium"/>
      <bottom style="medium"/>
    </border>
    <border>
      <left style="medium"/>
      <right style="medium">
        <color indexed="55"/>
      </right>
      <top>
        <color indexed="63"/>
      </top>
      <bottom style="thin">
        <color indexed="22"/>
      </bottom>
    </border>
    <border>
      <left style="medium">
        <color theme="0" tint="-0.3499799966812134"/>
      </left>
      <right style="medium">
        <color theme="0" tint="-0.3499799966812134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indexed="2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 style="medium">
        <color indexed="55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 style="medium">
        <color indexed="55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 style="medium"/>
      <top style="thin">
        <color theme="2" tint="-0.24993999302387238"/>
      </top>
      <bottom style="thin">
        <color theme="2" tint="-0.24993999302387238"/>
      </bottom>
    </border>
    <border>
      <left style="thin">
        <color indexed="55"/>
      </left>
      <right style="thin">
        <color indexed="55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/>
      <top style="thin">
        <color theme="2" tint="-0.24993999302387238"/>
      </top>
      <bottom style="thin">
        <color theme="2" tint="-0.24993999302387238"/>
      </bottom>
    </border>
    <border>
      <left style="medium">
        <color indexed="55"/>
      </left>
      <right style="medium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/>
      <right style="thin">
        <color indexed="2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indexed="23"/>
      </left>
      <right style="thin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rgb="FF969696"/>
      </left>
      <right style="medium">
        <color indexed="55"/>
      </right>
      <top style="thin">
        <color indexed="55"/>
      </top>
      <bottom style="medium"/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3499799966812134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/>
      <right style="medium">
        <color theme="2" tint="-0.24993999302387238"/>
      </right>
      <top style="thin">
        <color indexed="55"/>
      </top>
      <bottom style="thin">
        <color indexed="55"/>
      </bottom>
    </border>
    <border>
      <left style="medium"/>
      <right style="medium">
        <color theme="2" tint="-0.24993999302387238"/>
      </right>
      <top>
        <color indexed="63"/>
      </top>
      <bottom style="medium"/>
    </border>
    <border>
      <left>
        <color indexed="63"/>
      </left>
      <right style="medium">
        <color theme="2" tint="-0.24993999302387238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/>
    </border>
    <border>
      <left style="medium">
        <color theme="2" tint="-0.24993999302387238"/>
      </left>
      <right style="medium">
        <color indexed="55"/>
      </right>
      <top style="thin">
        <color indexed="55"/>
      </top>
      <bottom style="medium"/>
    </border>
    <border>
      <left style="medium"/>
      <right style="medium">
        <color theme="2" tint="-0.24993999302387238"/>
      </right>
      <top style="medium"/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medium"/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3" fontId="2" fillId="0" borderId="0">
      <alignment/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166" fontId="5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82">
    <xf numFmtId="0" fontId="0" fillId="0" borderId="0" xfId="0" applyFont="1" applyAlignment="1">
      <alignment/>
    </xf>
    <xf numFmtId="0" fontId="3" fillId="0" borderId="0" xfId="59" applyFont="1" applyProtection="1">
      <alignment/>
      <protection locked="0"/>
    </xf>
    <xf numFmtId="164" fontId="4" fillId="0" borderId="0" xfId="59" applyNumberFormat="1" applyFont="1" applyFill="1" applyAlignment="1" applyProtection="1">
      <alignment horizontal="left"/>
      <protection locked="0"/>
    </xf>
    <xf numFmtId="38" fontId="3" fillId="0" borderId="0" xfId="59" applyNumberFormat="1" applyFont="1" applyFill="1" applyAlignment="1" applyProtection="1">
      <alignment horizontal="right"/>
      <protection locked="0"/>
    </xf>
    <xf numFmtId="38" fontId="3" fillId="0" borderId="0" xfId="59" applyNumberFormat="1" applyFont="1" applyFill="1" applyAlignment="1" applyProtection="1">
      <alignment horizontal="center"/>
      <protection locked="0"/>
    </xf>
    <xf numFmtId="37" fontId="3" fillId="0" borderId="0" xfId="59" applyNumberFormat="1" applyFont="1" applyFill="1" applyAlignment="1" applyProtection="1">
      <alignment horizontal="center"/>
      <protection locked="0"/>
    </xf>
    <xf numFmtId="38" fontId="3" fillId="0" borderId="0" xfId="59" applyNumberFormat="1" applyFont="1" applyFill="1" applyAlignment="1" applyProtection="1">
      <alignment horizontal="right"/>
      <protection/>
    </xf>
    <xf numFmtId="37" fontId="3" fillId="0" borderId="0" xfId="59" applyNumberFormat="1" applyFont="1" applyFill="1" applyAlignment="1" applyProtection="1">
      <alignment horizontal="right"/>
      <protection/>
    </xf>
    <xf numFmtId="164" fontId="4" fillId="0" borderId="0" xfId="61" applyNumberFormat="1" applyFont="1" applyFill="1" applyAlignment="1" applyProtection="1">
      <alignment horizontal="left"/>
      <protection locked="0"/>
    </xf>
    <xf numFmtId="37" fontId="3" fillId="0" borderId="0" xfId="61" applyNumberFormat="1" applyFont="1" applyFill="1" applyAlignment="1" applyProtection="1">
      <alignment horizontal="right"/>
      <protection/>
    </xf>
    <xf numFmtId="38" fontId="3" fillId="0" borderId="0" xfId="61" applyNumberFormat="1" applyFont="1" applyFill="1" applyAlignment="1" applyProtection="1">
      <alignment horizontal="center"/>
      <protection locked="0"/>
    </xf>
    <xf numFmtId="38" fontId="3" fillId="0" borderId="0" xfId="61" applyNumberFormat="1" applyFont="1" applyFill="1" applyAlignment="1" applyProtection="1">
      <alignment horizontal="right"/>
      <protection locked="0"/>
    </xf>
    <xf numFmtId="38" fontId="3" fillId="0" borderId="0" xfId="61" applyNumberFormat="1" applyFont="1" applyFill="1" applyBorder="1" applyAlignment="1" applyProtection="1">
      <alignment horizontal="center"/>
      <protection locked="0"/>
    </xf>
    <xf numFmtId="38" fontId="3" fillId="0" borderId="0" xfId="61" applyNumberFormat="1" applyFont="1" applyFill="1" applyBorder="1" applyAlignment="1" applyProtection="1">
      <alignment horizontal="right"/>
      <protection locked="0"/>
    </xf>
    <xf numFmtId="164" fontId="4" fillId="0" borderId="10" xfId="61" applyNumberFormat="1" applyFont="1" applyFill="1" applyBorder="1" applyAlignment="1" applyProtection="1">
      <alignment horizontal="left"/>
      <protection locked="0"/>
    </xf>
    <xf numFmtId="37" fontId="3" fillId="0" borderId="11" xfId="61" applyNumberFormat="1" applyFont="1" applyFill="1" applyBorder="1" applyAlignment="1" applyProtection="1">
      <alignment horizontal="right"/>
      <protection/>
    </xf>
    <xf numFmtId="37" fontId="3" fillId="0" borderId="12" xfId="61" applyNumberFormat="1" applyFont="1" applyFill="1" applyBorder="1" applyAlignment="1" applyProtection="1">
      <alignment horizontal="right"/>
      <protection/>
    </xf>
    <xf numFmtId="38" fontId="3" fillId="0" borderId="13" xfId="61" applyNumberFormat="1" applyFont="1" applyFill="1" applyBorder="1" applyAlignment="1" applyProtection="1">
      <alignment horizontal="center"/>
      <protection/>
    </xf>
    <xf numFmtId="38" fontId="3" fillId="0" borderId="12" xfId="61" applyNumberFormat="1" applyFont="1" applyFill="1" applyBorder="1" applyAlignment="1" applyProtection="1">
      <alignment horizontal="right"/>
      <protection/>
    </xf>
    <xf numFmtId="164" fontId="4" fillId="0" borderId="14" xfId="61" applyNumberFormat="1" applyFont="1" applyFill="1" applyBorder="1" applyAlignment="1" applyProtection="1">
      <alignment horizontal="left"/>
      <protection locked="0"/>
    </xf>
    <xf numFmtId="37" fontId="3" fillId="0" borderId="15" xfId="61" applyNumberFormat="1" applyFont="1" applyFill="1" applyBorder="1" applyAlignment="1" applyProtection="1">
      <alignment horizontal="right"/>
      <protection/>
    </xf>
    <xf numFmtId="37" fontId="3" fillId="0" borderId="16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center"/>
      <protection/>
    </xf>
    <xf numFmtId="38" fontId="3" fillId="0" borderId="17" xfId="61" applyNumberFormat="1" applyFont="1" applyFill="1" applyBorder="1" applyAlignment="1" applyProtection="1">
      <alignment horizontal="right"/>
      <protection/>
    </xf>
    <xf numFmtId="164" fontId="3" fillId="0" borderId="14" xfId="61" applyNumberFormat="1" applyFont="1" applyFill="1" applyBorder="1" applyAlignment="1" applyProtection="1">
      <alignment horizontal="left"/>
      <protection locked="0"/>
    </xf>
    <xf numFmtId="164" fontId="3" fillId="0" borderId="18" xfId="61" applyNumberFormat="1" applyFont="1" applyFill="1" applyBorder="1" applyAlignment="1" applyProtection="1">
      <alignment horizontal="left"/>
      <protection locked="0"/>
    </xf>
    <xf numFmtId="164" fontId="3" fillId="0" borderId="19" xfId="61" applyNumberFormat="1" applyFont="1" applyFill="1" applyBorder="1" applyAlignment="1" applyProtection="1">
      <alignment horizontal="left"/>
      <protection locked="0"/>
    </xf>
    <xf numFmtId="164" fontId="3" fillId="0" borderId="13" xfId="61" applyNumberFormat="1" applyFont="1" applyFill="1" applyBorder="1" applyAlignment="1" applyProtection="1">
      <alignment horizontal="left"/>
      <protection locked="0"/>
    </xf>
    <xf numFmtId="0" fontId="3" fillId="0" borderId="20" xfId="59" applyFont="1" applyBorder="1" applyProtection="1">
      <alignment/>
      <protection locked="0"/>
    </xf>
    <xf numFmtId="164" fontId="3" fillId="0" borderId="21" xfId="61" applyNumberFormat="1" applyFont="1" applyFill="1" applyBorder="1" applyAlignment="1" applyProtection="1">
      <alignment horizontal="left"/>
      <protection locked="0"/>
    </xf>
    <xf numFmtId="164" fontId="3" fillId="0" borderId="22" xfId="61" applyNumberFormat="1" applyFont="1" applyFill="1" applyBorder="1" applyAlignment="1" applyProtection="1">
      <alignment horizontal="left"/>
      <protection locked="0"/>
    </xf>
    <xf numFmtId="164" fontId="3" fillId="0" borderId="20" xfId="61" applyNumberFormat="1" applyFont="1" applyFill="1" applyBorder="1" applyAlignment="1" applyProtection="1">
      <alignment horizontal="left"/>
      <protection locked="0"/>
    </xf>
    <xf numFmtId="166" fontId="3" fillId="0" borderId="22" xfId="61" applyNumberFormat="1" applyFont="1" applyFill="1" applyBorder="1" applyAlignment="1" applyProtection="1">
      <alignment/>
      <protection/>
    </xf>
    <xf numFmtId="166" fontId="3" fillId="0" borderId="23" xfId="61" applyNumberFormat="1" applyFont="1" applyFill="1" applyBorder="1" applyAlignment="1" applyProtection="1">
      <alignment horizontal="right"/>
      <protection/>
    </xf>
    <xf numFmtId="164" fontId="4" fillId="0" borderId="14" xfId="61" applyNumberFormat="1" applyFont="1" applyFill="1" applyBorder="1" applyAlignment="1" applyProtection="1" quotePrefix="1">
      <alignment horizontal="left"/>
      <protection locked="0"/>
    </xf>
    <xf numFmtId="38" fontId="3" fillId="33" borderId="21" xfId="59" applyNumberFormat="1" applyFont="1" applyFill="1" applyBorder="1" applyAlignment="1">
      <alignment/>
      <protection/>
    </xf>
    <xf numFmtId="38" fontId="3" fillId="33" borderId="22" xfId="59" applyNumberFormat="1" applyFont="1" applyFill="1" applyBorder="1" applyAlignment="1">
      <alignment/>
      <protection/>
    </xf>
    <xf numFmtId="38" fontId="3" fillId="0" borderId="22" xfId="59" applyNumberFormat="1" applyFont="1" applyBorder="1" applyAlignment="1">
      <alignment/>
      <protection/>
    </xf>
    <xf numFmtId="38" fontId="3" fillId="0" borderId="17" xfId="59" applyNumberFormat="1" applyFont="1" applyBorder="1" applyAlignment="1">
      <alignment horizontal="center"/>
      <protection/>
    </xf>
    <xf numFmtId="0" fontId="4" fillId="0" borderId="20" xfId="59" applyFont="1" applyBorder="1" applyProtection="1">
      <alignment/>
      <protection locked="0"/>
    </xf>
    <xf numFmtId="164" fontId="3" fillId="0" borderId="21" xfId="61" applyNumberFormat="1" applyFont="1" applyFill="1" applyBorder="1" applyAlignment="1" applyProtection="1" quotePrefix="1">
      <alignment horizontal="left"/>
      <protection locked="0"/>
    </xf>
    <xf numFmtId="164" fontId="3" fillId="0" borderId="22" xfId="61" applyNumberFormat="1" applyFont="1" applyFill="1" applyBorder="1" applyAlignment="1" applyProtection="1" quotePrefix="1">
      <alignment horizontal="left"/>
      <protection locked="0"/>
    </xf>
    <xf numFmtId="164" fontId="3" fillId="0" borderId="20" xfId="61" applyNumberFormat="1" applyFont="1" applyFill="1" applyBorder="1" applyAlignment="1" applyProtection="1" quotePrefix="1">
      <alignment horizontal="left"/>
      <protection locked="0"/>
    </xf>
    <xf numFmtId="164" fontId="3" fillId="0" borderId="24" xfId="61" applyNumberFormat="1" applyFont="1" applyFill="1" applyBorder="1" applyAlignment="1" applyProtection="1">
      <alignment horizontal="left"/>
      <protection locked="0"/>
    </xf>
    <xf numFmtId="38" fontId="3" fillId="0" borderId="25" xfId="61" applyNumberFormat="1" applyFont="1" applyFill="1" applyBorder="1" applyAlignment="1" applyProtection="1">
      <alignment horizontal="right"/>
      <protection/>
    </xf>
    <xf numFmtId="0" fontId="3" fillId="0" borderId="20" xfId="59" applyFont="1" applyFill="1" applyBorder="1" applyProtection="1">
      <alignment/>
      <protection locked="0"/>
    </xf>
    <xf numFmtId="0" fontId="4" fillId="0" borderId="20" xfId="59" applyFont="1" applyFill="1" applyBorder="1" applyProtection="1">
      <alignment/>
      <protection locked="0"/>
    </xf>
    <xf numFmtId="164" fontId="4" fillId="0" borderId="21" xfId="61" applyNumberFormat="1" applyFont="1" applyFill="1" applyBorder="1" applyAlignment="1" applyProtection="1">
      <alignment horizontal="left"/>
      <protection locked="0"/>
    </xf>
    <xf numFmtId="164" fontId="4" fillId="0" borderId="22" xfId="61" applyNumberFormat="1" applyFont="1" applyFill="1" applyBorder="1" applyAlignment="1" applyProtection="1">
      <alignment horizontal="left"/>
      <protection locked="0"/>
    </xf>
    <xf numFmtId="164" fontId="4" fillId="0" borderId="20" xfId="61" applyNumberFormat="1" applyFont="1" applyFill="1" applyBorder="1" applyAlignment="1" applyProtection="1">
      <alignment horizontal="left"/>
      <protection locked="0"/>
    </xf>
    <xf numFmtId="164" fontId="4" fillId="0" borderId="26" xfId="61" applyNumberFormat="1" applyFont="1" applyFill="1" applyBorder="1" applyAlignment="1" applyProtection="1">
      <alignment horizontal="left"/>
      <protection locked="0"/>
    </xf>
    <xf numFmtId="164" fontId="4" fillId="0" borderId="27" xfId="61" applyNumberFormat="1" applyFont="1" applyFill="1" applyBorder="1" applyAlignment="1" applyProtection="1">
      <alignment horizontal="left"/>
      <protection locked="0"/>
    </xf>
    <xf numFmtId="164" fontId="4" fillId="0" borderId="28" xfId="61" applyNumberFormat="1" applyFont="1" applyFill="1" applyBorder="1" applyAlignment="1" applyProtection="1">
      <alignment horizontal="left"/>
      <protection locked="0"/>
    </xf>
    <xf numFmtId="3" fontId="4" fillId="0" borderId="21" xfId="61" applyNumberFormat="1" applyFont="1" applyFill="1" applyBorder="1" applyAlignment="1" applyProtection="1">
      <alignment/>
      <protection locked="0"/>
    </xf>
    <xf numFmtId="3" fontId="4" fillId="0" borderId="22" xfId="61" applyNumberFormat="1" applyFont="1" applyFill="1" applyBorder="1" applyAlignment="1" applyProtection="1">
      <alignment/>
      <protection locked="0"/>
    </xf>
    <xf numFmtId="3" fontId="4" fillId="0" borderId="29" xfId="61" applyNumberFormat="1" applyFont="1" applyFill="1" applyBorder="1" applyAlignment="1" applyProtection="1">
      <alignment/>
      <protection locked="0"/>
    </xf>
    <xf numFmtId="3" fontId="3" fillId="0" borderId="21" xfId="61" applyNumberFormat="1" applyFont="1" applyFill="1" applyBorder="1" applyAlignment="1" applyProtection="1">
      <alignment/>
      <protection locked="0"/>
    </xf>
    <xf numFmtId="3" fontId="3" fillId="0" borderId="22" xfId="61" applyNumberFormat="1" applyFont="1" applyFill="1" applyBorder="1" applyAlignment="1" applyProtection="1">
      <alignment/>
      <protection locked="0"/>
    </xf>
    <xf numFmtId="3" fontId="3" fillId="0" borderId="29" xfId="61" applyNumberFormat="1" applyFont="1" applyFill="1" applyBorder="1" applyAlignment="1" applyProtection="1">
      <alignment/>
      <protection locked="0"/>
    </xf>
    <xf numFmtId="37" fontId="3" fillId="0" borderId="0" xfId="61" applyNumberFormat="1" applyFont="1" applyFill="1" applyBorder="1" applyAlignment="1" applyProtection="1">
      <alignment horizontal="center"/>
      <protection/>
    </xf>
    <xf numFmtId="37" fontId="3" fillId="0" borderId="17" xfId="61" applyNumberFormat="1" applyFont="1" applyFill="1" applyBorder="1" applyAlignment="1" applyProtection="1">
      <alignment horizontal="right"/>
      <protection/>
    </xf>
    <xf numFmtId="37" fontId="3" fillId="0" borderId="15" xfId="61" applyNumberFormat="1" applyFont="1" applyFill="1" applyBorder="1" applyAlignment="1" applyProtection="1" quotePrefix="1">
      <alignment horizontal="right"/>
      <protection/>
    </xf>
    <xf numFmtId="166" fontId="3" fillId="0" borderId="22" xfId="61" applyNumberFormat="1" applyFont="1" applyFill="1" applyBorder="1" applyAlignment="1" applyProtection="1">
      <alignment horizontal="left"/>
      <protection/>
    </xf>
    <xf numFmtId="164" fontId="4" fillId="0" borderId="24" xfId="61" applyNumberFormat="1" applyFont="1" applyFill="1" applyBorder="1" applyAlignment="1" applyProtection="1">
      <alignment horizontal="left"/>
      <protection locked="0"/>
    </xf>
    <xf numFmtId="37" fontId="3" fillId="0" borderId="30" xfId="61" applyNumberFormat="1" applyFont="1" applyFill="1" applyBorder="1" applyAlignment="1" applyProtection="1">
      <alignment horizontal="right"/>
      <protection/>
    </xf>
    <xf numFmtId="164" fontId="4" fillId="0" borderId="31" xfId="61" applyNumberFormat="1" applyFont="1" applyFill="1" applyBorder="1" applyAlignment="1" applyProtection="1">
      <alignment horizontal="left"/>
      <protection locked="0"/>
    </xf>
    <xf numFmtId="38" fontId="3" fillId="0" borderId="32" xfId="61" applyNumberFormat="1" applyFont="1" applyFill="1" applyBorder="1" applyAlignment="1" applyProtection="1">
      <alignment horizontal="right"/>
      <protection/>
    </xf>
    <xf numFmtId="164" fontId="3" fillId="0" borderId="26" xfId="61" applyNumberFormat="1" applyFont="1" applyFill="1" applyBorder="1" applyAlignment="1" applyProtection="1">
      <alignment horizontal="left"/>
      <protection locked="0"/>
    </xf>
    <xf numFmtId="164" fontId="3" fillId="0" borderId="27" xfId="61" applyNumberFormat="1" applyFont="1" applyFill="1" applyBorder="1" applyAlignment="1" applyProtection="1">
      <alignment horizontal="left"/>
      <protection locked="0"/>
    </xf>
    <xf numFmtId="164" fontId="3" fillId="0" borderId="28" xfId="61" applyNumberFormat="1" applyFont="1" applyFill="1" applyBorder="1" applyAlignment="1" applyProtection="1">
      <alignment horizontal="left"/>
      <protection locked="0"/>
    </xf>
    <xf numFmtId="164" fontId="4" fillId="34" borderId="33" xfId="40" applyNumberFormat="1" applyFont="1" applyFill="1" applyBorder="1" applyAlignment="1" applyProtection="1">
      <alignment horizontal="left"/>
      <protection locked="0"/>
    </xf>
    <xf numFmtId="164" fontId="4" fillId="34" borderId="34" xfId="40" applyNumberFormat="1" applyFont="1" applyFill="1" applyBorder="1" applyAlignment="1" applyProtection="1">
      <alignment horizontal="left"/>
      <protection locked="0"/>
    </xf>
    <xf numFmtId="164" fontId="4" fillId="34" borderId="35" xfId="40" applyNumberFormat="1" applyFont="1" applyFill="1" applyBorder="1" applyAlignment="1" applyProtection="1">
      <alignment horizontal="left"/>
      <protection locked="0"/>
    </xf>
    <xf numFmtId="38" fontId="3" fillId="33" borderId="36" xfId="59" applyNumberFormat="1" applyFont="1" applyFill="1" applyBorder="1" applyAlignment="1">
      <alignment/>
      <protection/>
    </xf>
    <xf numFmtId="38" fontId="3" fillId="33" borderId="37" xfId="59" applyNumberFormat="1" applyFont="1" applyFill="1" applyBorder="1" applyAlignment="1">
      <alignment/>
      <protection/>
    </xf>
    <xf numFmtId="38" fontId="3" fillId="0" borderId="37" xfId="59" applyNumberFormat="1" applyFont="1" applyBorder="1" applyAlignment="1">
      <alignment/>
      <protection/>
    </xf>
    <xf numFmtId="38" fontId="3" fillId="0" borderId="32" xfId="59" applyNumberFormat="1" applyFont="1" applyBorder="1" applyAlignment="1">
      <alignment horizontal="center"/>
      <protection/>
    </xf>
    <xf numFmtId="0" fontId="3" fillId="0" borderId="0" xfId="59" applyFont="1">
      <alignment/>
      <protection/>
    </xf>
    <xf numFmtId="0" fontId="3" fillId="0" borderId="22" xfId="61" applyFont="1" applyFill="1" applyBorder="1" applyProtection="1">
      <alignment/>
      <protection/>
    </xf>
    <xf numFmtId="37" fontId="3" fillId="0" borderId="13" xfId="61" applyNumberFormat="1" applyFont="1" applyFill="1" applyBorder="1" applyAlignment="1" applyProtection="1">
      <alignment horizontal="center"/>
      <protection/>
    </xf>
    <xf numFmtId="0" fontId="7" fillId="0" borderId="20" xfId="59" applyFont="1" applyBorder="1" applyProtection="1">
      <alignment/>
      <protection locked="0"/>
    </xf>
    <xf numFmtId="38" fontId="3" fillId="34" borderId="21" xfId="59" applyNumberFormat="1" applyFont="1" applyFill="1" applyBorder="1" applyAlignment="1">
      <alignment/>
      <protection/>
    </xf>
    <xf numFmtId="38" fontId="3" fillId="34" borderId="22" xfId="59" applyNumberFormat="1" applyFont="1" applyFill="1" applyBorder="1" applyAlignment="1">
      <alignment/>
      <protection/>
    </xf>
    <xf numFmtId="38" fontId="3" fillId="34" borderId="17" xfId="59" applyNumberFormat="1" applyFont="1" applyFill="1" applyBorder="1" applyAlignment="1">
      <alignment horizontal="center"/>
      <protection/>
    </xf>
    <xf numFmtId="38" fontId="3" fillId="33" borderId="26" xfId="59" applyNumberFormat="1" applyFont="1" applyFill="1" applyBorder="1" applyAlignment="1">
      <alignment/>
      <protection/>
    </xf>
    <xf numFmtId="38" fontId="3" fillId="33" borderId="27" xfId="59" applyNumberFormat="1" applyFont="1" applyFill="1" applyBorder="1" applyAlignment="1">
      <alignment/>
      <protection/>
    </xf>
    <xf numFmtId="38" fontId="3" fillId="0" borderId="27" xfId="59" applyNumberFormat="1" applyFont="1" applyBorder="1" applyAlignment="1">
      <alignment/>
      <protection/>
    </xf>
    <xf numFmtId="38" fontId="3" fillId="0" borderId="25" xfId="59" applyNumberFormat="1" applyFont="1" applyBorder="1" applyAlignment="1">
      <alignment horizontal="center"/>
      <protection/>
    </xf>
    <xf numFmtId="0" fontId="3" fillId="34" borderId="38" xfId="59" applyFont="1" applyFill="1" applyBorder="1" applyProtection="1">
      <alignment/>
      <protection locked="0"/>
    </xf>
    <xf numFmtId="0" fontId="3" fillId="34" borderId="39" xfId="59" applyFont="1" applyFill="1" applyBorder="1" applyProtection="1">
      <alignment/>
      <protection locked="0"/>
    </xf>
    <xf numFmtId="0" fontId="3" fillId="34" borderId="40" xfId="59" applyFont="1" applyFill="1" applyBorder="1" applyProtection="1">
      <alignment/>
      <protection locked="0"/>
    </xf>
    <xf numFmtId="0" fontId="3" fillId="0" borderId="0" xfId="59" applyFont="1" applyBorder="1" applyProtection="1">
      <alignment/>
      <protection locked="0"/>
    </xf>
    <xf numFmtId="38" fontId="3" fillId="0" borderId="21" xfId="59" applyNumberFormat="1" applyFont="1" applyFill="1" applyBorder="1" applyAlignment="1">
      <alignment/>
      <protection/>
    </xf>
    <xf numFmtId="38" fontId="3" fillId="0" borderId="22" xfId="59" applyNumberFormat="1" applyFont="1" applyFill="1" applyBorder="1" applyAlignment="1">
      <alignment/>
      <protection/>
    </xf>
    <xf numFmtId="38" fontId="3" fillId="0" borderId="17" xfId="59" applyNumberFormat="1" applyFont="1" applyFill="1" applyBorder="1" applyAlignment="1">
      <alignment horizontal="center"/>
      <protection/>
    </xf>
    <xf numFmtId="37" fontId="7" fillId="0" borderId="15" xfId="61" applyNumberFormat="1" applyFont="1" applyFill="1" applyBorder="1" applyAlignment="1" applyProtection="1">
      <alignment horizontal="right"/>
      <protection/>
    </xf>
    <xf numFmtId="164" fontId="3" fillId="0" borderId="41" xfId="61" applyNumberFormat="1" applyFont="1" applyFill="1" applyBorder="1" applyAlignment="1" applyProtection="1">
      <alignment horizontal="left"/>
      <protection locked="0"/>
    </xf>
    <xf numFmtId="37" fontId="3" fillId="0" borderId="42" xfId="61" applyNumberFormat="1" applyFont="1" applyFill="1" applyBorder="1" applyAlignment="1" applyProtection="1">
      <alignment horizontal="center"/>
      <protection locked="0"/>
    </xf>
    <xf numFmtId="38" fontId="3" fillId="0" borderId="11" xfId="61" applyNumberFormat="1" applyFont="1" applyFill="1" applyBorder="1" applyAlignment="1" applyProtection="1">
      <alignment horizontal="right"/>
      <protection/>
    </xf>
    <xf numFmtId="38" fontId="3" fillId="0" borderId="43" xfId="61" applyNumberFormat="1" applyFont="1" applyFill="1" applyBorder="1" applyAlignment="1" applyProtection="1">
      <alignment horizontal="right"/>
      <protection/>
    </xf>
    <xf numFmtId="38" fontId="3" fillId="0" borderId="16" xfId="61" applyNumberFormat="1" applyFont="1" applyFill="1" applyBorder="1" applyAlignment="1" applyProtection="1">
      <alignment horizontal="right"/>
      <protection/>
    </xf>
    <xf numFmtId="0" fontId="3" fillId="0" borderId="16" xfId="59" applyFont="1" applyBorder="1" applyProtection="1">
      <alignment/>
      <protection locked="0"/>
    </xf>
    <xf numFmtId="0" fontId="3" fillId="34" borderId="44" xfId="59" applyFont="1" applyFill="1" applyBorder="1" applyProtection="1">
      <alignment/>
      <protection locked="0"/>
    </xf>
    <xf numFmtId="166" fontId="3" fillId="0" borderId="45" xfId="61" applyNumberFormat="1" applyFont="1" applyFill="1" applyBorder="1" applyAlignment="1" applyProtection="1">
      <alignment horizontal="left"/>
      <protection/>
    </xf>
    <xf numFmtId="164" fontId="3" fillId="0" borderId="14" xfId="61" applyNumberFormat="1" applyFont="1" applyFill="1" applyBorder="1" applyAlignment="1" applyProtection="1">
      <alignment horizontal="left" vertical="distributed"/>
      <protection locked="0"/>
    </xf>
    <xf numFmtId="38" fontId="3" fillId="0" borderId="43" xfId="61" applyNumberFormat="1" applyFont="1" applyFill="1" applyBorder="1" applyAlignment="1" applyProtection="1">
      <alignment horizontal="right" vertical="distributed"/>
      <protection/>
    </xf>
    <xf numFmtId="0" fontId="3" fillId="0" borderId="20" xfId="59" applyFont="1" applyBorder="1" applyAlignment="1" applyProtection="1">
      <alignment vertical="distributed"/>
      <protection locked="0"/>
    </xf>
    <xf numFmtId="37" fontId="3" fillId="0" borderId="43" xfId="61" applyNumberFormat="1" applyFont="1" applyFill="1" applyBorder="1" applyAlignment="1" applyProtection="1">
      <alignment horizontal="right"/>
      <protection/>
    </xf>
    <xf numFmtId="0" fontId="3" fillId="0" borderId="46" xfId="59" applyFont="1" applyBorder="1" applyProtection="1">
      <alignment/>
      <protection locked="0"/>
    </xf>
    <xf numFmtId="164" fontId="3" fillId="0" borderId="31" xfId="61" applyNumberFormat="1" applyFont="1" applyFill="1" applyBorder="1" applyAlignment="1" applyProtection="1">
      <alignment horizontal="left"/>
      <protection locked="0"/>
    </xf>
    <xf numFmtId="38" fontId="3" fillId="0" borderId="47" xfId="61" applyNumberFormat="1" applyFont="1" applyFill="1" applyBorder="1" applyAlignment="1" applyProtection="1">
      <alignment horizontal="right"/>
      <protection/>
    </xf>
    <xf numFmtId="38" fontId="3" fillId="0" borderId="48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center" vertical="distributed"/>
      <protection/>
    </xf>
    <xf numFmtId="38" fontId="3" fillId="0" borderId="17" xfId="61" applyNumberFormat="1" applyFont="1" applyFill="1" applyBorder="1" applyAlignment="1" applyProtection="1">
      <alignment horizontal="right" vertical="distributed"/>
      <protection/>
    </xf>
    <xf numFmtId="38" fontId="4" fillId="33" borderId="21" xfId="59" applyNumberFormat="1" applyFont="1" applyFill="1" applyBorder="1" applyAlignment="1">
      <alignment/>
      <protection/>
    </xf>
    <xf numFmtId="38" fontId="4" fillId="33" borderId="22" xfId="59" applyNumberFormat="1" applyFont="1" applyFill="1" applyBorder="1" applyAlignment="1">
      <alignment/>
      <protection/>
    </xf>
    <xf numFmtId="38" fontId="4" fillId="0" borderId="22" xfId="59" applyNumberFormat="1" applyFont="1" applyBorder="1" applyAlignment="1">
      <alignment/>
      <protection/>
    </xf>
    <xf numFmtId="38" fontId="4" fillId="0" borderId="17" xfId="59" applyNumberFormat="1" applyFont="1" applyBorder="1" applyAlignment="1">
      <alignment horizontal="center"/>
      <protection/>
    </xf>
    <xf numFmtId="0" fontId="3" fillId="0" borderId="20" xfId="59" applyFont="1" applyBorder="1" applyAlignment="1" applyProtection="1">
      <alignment horizontal="left"/>
      <protection locked="0"/>
    </xf>
    <xf numFmtId="0" fontId="3" fillId="0" borderId="0" xfId="59" applyFont="1" applyFill="1">
      <alignment/>
      <protection/>
    </xf>
    <xf numFmtId="38" fontId="4" fillId="0" borderId="17" xfId="59" applyNumberFormat="1" applyFont="1" applyFill="1" applyBorder="1" applyAlignment="1">
      <alignment horizontal="center"/>
      <protection/>
    </xf>
    <xf numFmtId="3" fontId="3" fillId="0" borderId="14" xfId="61" applyNumberFormat="1" applyFont="1" applyFill="1" applyBorder="1" applyAlignment="1" applyProtection="1">
      <alignment horizontal="left"/>
      <protection locked="0"/>
    </xf>
    <xf numFmtId="37" fontId="3" fillId="0" borderId="45" xfId="61" applyNumberFormat="1" applyFont="1" applyFill="1" applyBorder="1" applyAlignment="1" applyProtection="1">
      <alignment horizontal="left"/>
      <protection/>
    </xf>
    <xf numFmtId="38" fontId="3" fillId="0" borderId="49" xfId="61" applyNumberFormat="1" applyFont="1" applyFill="1" applyBorder="1" applyAlignment="1" applyProtection="1">
      <alignment horizontal="right"/>
      <protection/>
    </xf>
    <xf numFmtId="3" fontId="3" fillId="0" borderId="0" xfId="59" applyNumberFormat="1" applyFont="1" applyProtection="1">
      <alignment/>
      <protection locked="0"/>
    </xf>
    <xf numFmtId="38" fontId="4" fillId="0" borderId="25" xfId="59" applyNumberFormat="1" applyFont="1" applyBorder="1" applyAlignment="1">
      <alignment horizontal="center"/>
      <protection/>
    </xf>
    <xf numFmtId="37" fontId="9" fillId="0" borderId="50" xfId="61" applyNumberFormat="1" applyFont="1" applyFill="1" applyBorder="1" applyAlignment="1" applyProtection="1">
      <alignment horizontal="right"/>
      <protection/>
    </xf>
    <xf numFmtId="38" fontId="9" fillId="0" borderId="13" xfId="61" applyNumberFormat="1" applyFont="1" applyFill="1" applyBorder="1" applyAlignment="1" applyProtection="1">
      <alignment horizontal="center"/>
      <protection/>
    </xf>
    <xf numFmtId="38" fontId="9" fillId="0" borderId="32" xfId="61" applyNumberFormat="1" applyFont="1" applyFill="1" applyBorder="1" applyAlignment="1" applyProtection="1">
      <alignment horizontal="right"/>
      <protection/>
    </xf>
    <xf numFmtId="38" fontId="4" fillId="34" borderId="20" xfId="59" applyNumberFormat="1" applyFont="1" applyFill="1" applyBorder="1" applyAlignment="1">
      <alignment horizontal="center"/>
      <protection/>
    </xf>
    <xf numFmtId="0" fontId="7" fillId="0" borderId="0" xfId="59" applyFont="1" applyProtection="1">
      <alignment/>
      <protection locked="0"/>
    </xf>
    <xf numFmtId="38" fontId="3" fillId="34" borderId="26" xfId="59" applyNumberFormat="1" applyFont="1" applyFill="1" applyBorder="1" applyAlignment="1">
      <alignment/>
      <protection/>
    </xf>
    <xf numFmtId="38" fontId="3" fillId="34" borderId="27" xfId="59" applyNumberFormat="1" applyFont="1" applyFill="1" applyBorder="1" applyAlignment="1">
      <alignment/>
      <protection/>
    </xf>
    <xf numFmtId="38" fontId="4" fillId="34" borderId="28" xfId="59" applyNumberFormat="1" applyFont="1" applyFill="1" applyBorder="1" applyAlignment="1">
      <alignment horizontal="center"/>
      <protection/>
    </xf>
    <xf numFmtId="38" fontId="4" fillId="0" borderId="20" xfId="59" applyNumberFormat="1" applyFont="1" applyBorder="1" applyAlignment="1">
      <alignment horizontal="center"/>
      <protection/>
    </xf>
    <xf numFmtId="38" fontId="3" fillId="0" borderId="20" xfId="59" applyNumberFormat="1" applyFont="1" applyBorder="1" applyAlignment="1">
      <alignment horizontal="center"/>
      <protection/>
    </xf>
    <xf numFmtId="37" fontId="3" fillId="0" borderId="51" xfId="61" applyNumberFormat="1" applyFont="1" applyFill="1" applyBorder="1" applyAlignment="1" applyProtection="1">
      <alignment horizontal="right"/>
      <protection/>
    </xf>
    <xf numFmtId="38" fontId="3" fillId="34" borderId="20" xfId="59" applyNumberFormat="1" applyFont="1" applyFill="1" applyBorder="1" applyAlignment="1">
      <alignment horizontal="center"/>
      <protection/>
    </xf>
    <xf numFmtId="38" fontId="3" fillId="0" borderId="20" xfId="59" applyNumberFormat="1" applyFont="1" applyFill="1" applyBorder="1" applyAlignment="1">
      <alignment horizontal="center"/>
      <protection/>
    </xf>
    <xf numFmtId="166" fontId="7" fillId="0" borderId="23" xfId="61" applyNumberFormat="1" applyFont="1" applyFill="1" applyBorder="1" applyAlignment="1" applyProtection="1">
      <alignment horizontal="right"/>
      <protection/>
    </xf>
    <xf numFmtId="164" fontId="7" fillId="0" borderId="14" xfId="61" applyNumberFormat="1" applyFont="1" applyFill="1" applyBorder="1" applyAlignment="1" applyProtection="1">
      <alignment horizontal="left"/>
      <protection locked="0"/>
    </xf>
    <xf numFmtId="38" fontId="7" fillId="0" borderId="0" xfId="61" applyNumberFormat="1" applyFont="1" applyFill="1" applyBorder="1" applyAlignment="1" applyProtection="1">
      <alignment horizontal="center"/>
      <protection/>
    </xf>
    <xf numFmtId="38" fontId="7" fillId="0" borderId="17" xfId="61" applyNumberFormat="1" applyFont="1" applyFill="1" applyBorder="1" applyAlignment="1" applyProtection="1">
      <alignment horizontal="right"/>
      <protection/>
    </xf>
    <xf numFmtId="166" fontId="7" fillId="0" borderId="45" xfId="61" applyNumberFormat="1" applyFont="1" applyFill="1" applyBorder="1" applyAlignment="1" applyProtection="1">
      <alignment horizontal="left"/>
      <protection/>
    </xf>
    <xf numFmtId="166" fontId="3" fillId="0" borderId="45" xfId="61" applyNumberFormat="1" applyFont="1" applyFill="1" applyBorder="1" applyAlignment="1" applyProtection="1">
      <alignment/>
      <protection/>
    </xf>
    <xf numFmtId="166" fontId="4" fillId="0" borderId="23" xfId="61" applyNumberFormat="1" applyFont="1" applyFill="1" applyBorder="1" applyAlignment="1" applyProtection="1">
      <alignment horizontal="right"/>
      <protection/>
    </xf>
    <xf numFmtId="38" fontId="3" fillId="33" borderId="52" xfId="59" applyNumberFormat="1" applyFont="1" applyFill="1" applyBorder="1" applyAlignment="1">
      <alignment/>
      <protection/>
    </xf>
    <xf numFmtId="38" fontId="3" fillId="0" borderId="52" xfId="59" applyNumberFormat="1" applyFont="1" applyBorder="1" applyAlignment="1">
      <alignment/>
      <protection/>
    </xf>
    <xf numFmtId="38" fontId="3" fillId="0" borderId="53" xfId="59" applyNumberFormat="1" applyFont="1" applyBorder="1" applyAlignment="1">
      <alignment horizontal="center"/>
      <protection/>
    </xf>
    <xf numFmtId="166" fontId="3" fillId="0" borderId="54" xfId="61" applyNumberFormat="1" applyFont="1" applyFill="1" applyBorder="1" applyAlignment="1" applyProtection="1">
      <alignment horizontal="left"/>
      <protection/>
    </xf>
    <xf numFmtId="166" fontId="3" fillId="0" borderId="55" xfId="61" applyNumberFormat="1" applyFont="1" applyFill="1" applyBorder="1" applyAlignment="1" applyProtection="1">
      <alignment horizontal="right"/>
      <protection/>
    </xf>
    <xf numFmtId="38" fontId="3" fillId="34" borderId="18" xfId="59" applyNumberFormat="1" applyFont="1" applyFill="1" applyBorder="1" applyAlignment="1">
      <alignment/>
      <protection/>
    </xf>
    <xf numFmtId="38" fontId="3" fillId="34" borderId="19" xfId="59" applyNumberFormat="1" applyFont="1" applyFill="1" applyBorder="1" applyAlignment="1">
      <alignment/>
      <protection/>
    </xf>
    <xf numFmtId="38" fontId="3" fillId="34" borderId="56" xfId="59" applyNumberFormat="1" applyFont="1" applyFill="1" applyBorder="1" applyAlignment="1">
      <alignment/>
      <protection/>
    </xf>
    <xf numFmtId="38" fontId="3" fillId="34" borderId="57" xfId="59" applyNumberFormat="1" applyFont="1" applyFill="1" applyBorder="1" applyAlignment="1">
      <alignment/>
      <protection/>
    </xf>
    <xf numFmtId="38" fontId="4" fillId="34" borderId="58" xfId="59" applyNumberFormat="1" applyFont="1" applyFill="1" applyBorder="1" applyAlignment="1">
      <alignment horizontal="center"/>
      <protection/>
    </xf>
    <xf numFmtId="38" fontId="4" fillId="34" borderId="56" xfId="59" applyNumberFormat="1" applyFont="1" applyFill="1" applyBorder="1" applyAlignment="1">
      <alignment/>
      <protection/>
    </xf>
    <xf numFmtId="38" fontId="4" fillId="34" borderId="57" xfId="59" applyNumberFormat="1" applyFont="1" applyFill="1" applyBorder="1" applyAlignment="1">
      <alignment/>
      <protection/>
    </xf>
    <xf numFmtId="38" fontId="4" fillId="34" borderId="59" xfId="59" applyNumberFormat="1" applyFont="1" applyFill="1" applyBorder="1" applyAlignment="1">
      <alignment horizontal="center"/>
      <protection/>
    </xf>
    <xf numFmtId="37" fontId="3" fillId="0" borderId="0" xfId="59" applyNumberFormat="1" applyFont="1" applyProtection="1">
      <alignment/>
      <protection locked="0"/>
    </xf>
    <xf numFmtId="38" fontId="3" fillId="34" borderId="60" xfId="59" applyNumberFormat="1" applyFont="1" applyFill="1" applyBorder="1" applyAlignment="1">
      <alignment/>
      <protection/>
    </xf>
    <xf numFmtId="38" fontId="3" fillId="34" borderId="61" xfId="59" applyNumberFormat="1" applyFont="1" applyFill="1" applyBorder="1" applyAlignment="1">
      <alignment/>
      <protection/>
    </xf>
    <xf numFmtId="38" fontId="4" fillId="34" borderId="62" xfId="59" applyNumberFormat="1" applyFont="1" applyFill="1" applyBorder="1" applyAlignment="1">
      <alignment horizontal="center"/>
      <protection/>
    </xf>
    <xf numFmtId="164" fontId="4" fillId="0" borderId="18" xfId="61" applyNumberFormat="1" applyFont="1" applyFill="1" applyBorder="1" applyAlignment="1" applyProtection="1">
      <alignment horizontal="left"/>
      <protection locked="0"/>
    </xf>
    <xf numFmtId="38" fontId="3" fillId="0" borderId="13" xfId="61" applyNumberFormat="1" applyFont="1" applyFill="1" applyBorder="1" applyAlignment="1" applyProtection="1">
      <alignment horizontal="right"/>
      <protection/>
    </xf>
    <xf numFmtId="38" fontId="3" fillId="33" borderId="63" xfId="59" applyNumberFormat="1" applyFont="1" applyFill="1" applyBorder="1" applyAlignment="1">
      <alignment/>
      <protection/>
    </xf>
    <xf numFmtId="38" fontId="3" fillId="33" borderId="64" xfId="59" applyNumberFormat="1" applyFont="1" applyFill="1" applyBorder="1" applyAlignment="1">
      <alignment/>
      <protection/>
    </xf>
    <xf numFmtId="38" fontId="3" fillId="0" borderId="64" xfId="59" applyNumberFormat="1" applyFont="1" applyBorder="1" applyAlignment="1">
      <alignment/>
      <protection/>
    </xf>
    <xf numFmtId="38" fontId="4" fillId="0" borderId="16" xfId="59" applyNumberFormat="1" applyFont="1" applyBorder="1" applyAlignment="1">
      <alignment horizontal="center"/>
      <protection/>
    </xf>
    <xf numFmtId="38" fontId="11" fillId="34" borderId="65" xfId="61" applyNumberFormat="1" applyFont="1" applyFill="1" applyBorder="1" applyAlignment="1" applyProtection="1">
      <alignment horizontal="center"/>
      <protection locked="0"/>
    </xf>
    <xf numFmtId="38" fontId="11" fillId="0" borderId="66" xfId="61" applyNumberFormat="1" applyFont="1" applyFill="1" applyBorder="1" applyAlignment="1" applyProtection="1">
      <alignment horizontal="center"/>
      <protection/>
    </xf>
    <xf numFmtId="38" fontId="11" fillId="0" borderId="30" xfId="61" applyNumberFormat="1" applyFont="1" applyFill="1" applyBorder="1" applyAlignment="1" applyProtection="1">
      <alignment horizontal="center"/>
      <protection/>
    </xf>
    <xf numFmtId="165" fontId="3" fillId="0" borderId="0" xfId="61" applyNumberFormat="1" applyFont="1" applyFill="1" applyBorder="1" applyAlignment="1" applyProtection="1">
      <alignment horizontal="center"/>
      <protection locked="0"/>
    </xf>
    <xf numFmtId="0" fontId="4" fillId="0" borderId="0" xfId="61" applyFont="1" applyFill="1" applyBorder="1" applyProtection="1">
      <alignment/>
      <protection locked="0"/>
    </xf>
    <xf numFmtId="0" fontId="4" fillId="34" borderId="41" xfId="59" applyFont="1" applyFill="1" applyBorder="1" applyAlignment="1">
      <alignment horizontal="center"/>
      <protection/>
    </xf>
    <xf numFmtId="3" fontId="4" fillId="34" borderId="30" xfId="61" applyNumberFormat="1" applyFont="1" applyFill="1" applyBorder="1" applyAlignment="1">
      <alignment horizontal="center"/>
      <protection/>
    </xf>
    <xf numFmtId="38" fontId="4" fillId="34" borderId="16" xfId="61" applyNumberFormat="1" applyFont="1" applyFill="1" applyBorder="1" applyAlignment="1">
      <alignment horizontal="center"/>
      <protection/>
    </xf>
    <xf numFmtId="38" fontId="11" fillId="0" borderId="65" xfId="61" applyNumberFormat="1" applyFont="1" applyFill="1" applyBorder="1" applyAlignment="1" applyProtection="1">
      <alignment horizontal="center"/>
      <protection/>
    </xf>
    <xf numFmtId="165" fontId="12" fillId="0" borderId="0" xfId="61" applyNumberFormat="1" applyFont="1" applyFill="1" applyBorder="1" applyAlignment="1" applyProtection="1">
      <alignment horizontal="center"/>
      <protection locked="0"/>
    </xf>
    <xf numFmtId="14" fontId="4" fillId="0" borderId="16" xfId="61" applyNumberFormat="1" applyFont="1" applyFill="1" applyBorder="1" applyAlignment="1" applyProtection="1">
      <alignment horizontal="right"/>
      <protection locked="0"/>
    </xf>
    <xf numFmtId="0" fontId="3" fillId="34" borderId="41" xfId="59" applyFont="1" applyFill="1" applyBorder="1">
      <alignment/>
      <protection/>
    </xf>
    <xf numFmtId="0" fontId="3" fillId="34" borderId="30" xfId="59" applyFont="1" applyFill="1" applyBorder="1" applyAlignment="1">
      <alignment horizontal="center"/>
      <protection/>
    </xf>
    <xf numFmtId="38" fontId="4" fillId="34" borderId="16" xfId="59" applyNumberFormat="1" applyFont="1" applyFill="1" applyBorder="1" applyAlignment="1">
      <alignment horizontal="center"/>
      <protection/>
    </xf>
    <xf numFmtId="0" fontId="12" fillId="0" borderId="0" xfId="61" applyFont="1" applyFill="1" applyBorder="1" applyAlignment="1" applyProtection="1">
      <alignment horizontal="center"/>
      <protection locked="0"/>
    </xf>
    <xf numFmtId="5" fontId="4" fillId="0" borderId="0" xfId="61" applyNumberFormat="1" applyFont="1" applyFill="1" applyBorder="1" applyAlignment="1" applyProtection="1">
      <alignment horizontal="left"/>
      <protection locked="0"/>
    </xf>
    <xf numFmtId="0" fontId="4" fillId="0" borderId="16" xfId="61" applyFont="1" applyFill="1" applyBorder="1" applyAlignment="1" applyProtection="1">
      <alignment horizontal="right"/>
      <protection locked="0"/>
    </xf>
    <xf numFmtId="0" fontId="3" fillId="34" borderId="67" xfId="59" applyFont="1" applyFill="1" applyBorder="1">
      <alignment/>
      <protection/>
    </xf>
    <xf numFmtId="0" fontId="3" fillId="34" borderId="68" xfId="59" applyFont="1" applyFill="1" applyBorder="1">
      <alignment/>
      <protection/>
    </xf>
    <xf numFmtId="38" fontId="11" fillId="34" borderId="69" xfId="61" applyNumberFormat="1" applyFont="1" applyFill="1" applyBorder="1" applyAlignment="1" applyProtection="1">
      <alignment horizontal="center"/>
      <protection locked="0"/>
    </xf>
    <xf numFmtId="38" fontId="4" fillId="34" borderId="70" xfId="59" applyNumberFormat="1" applyFont="1" applyFill="1" applyBorder="1" applyAlignment="1">
      <alignment horizontal="center"/>
      <protection/>
    </xf>
    <xf numFmtId="38" fontId="3" fillId="0" borderId="71" xfId="59" applyNumberFormat="1" applyFont="1" applyFill="1" applyBorder="1" applyAlignment="1" applyProtection="1">
      <alignment horizontal="right"/>
      <protection/>
    </xf>
    <xf numFmtId="38" fontId="3" fillId="0" borderId="69" xfId="59" applyNumberFormat="1" applyFont="1" applyFill="1" applyBorder="1" applyAlignment="1" applyProtection="1">
      <alignment horizontal="right"/>
      <protection/>
    </xf>
    <xf numFmtId="38" fontId="3" fillId="0" borderId="68" xfId="59" applyNumberFormat="1" applyFont="1" applyFill="1" applyBorder="1" applyAlignment="1" applyProtection="1">
      <alignment horizontal="right"/>
      <protection/>
    </xf>
    <xf numFmtId="165" fontId="4" fillId="0" borderId="72" xfId="61" applyNumberFormat="1" applyFont="1" applyFill="1" applyBorder="1" applyAlignment="1" applyProtection="1">
      <alignment horizontal="center"/>
      <protection locked="0"/>
    </xf>
    <xf numFmtId="0" fontId="4" fillId="0" borderId="72" xfId="61" applyFont="1" applyFill="1" applyBorder="1" applyAlignment="1" applyProtection="1">
      <alignment horizontal="center"/>
      <protection locked="0"/>
    </xf>
    <xf numFmtId="0" fontId="4" fillId="0" borderId="70" xfId="61" applyFont="1" applyFill="1" applyBorder="1" applyAlignment="1" applyProtection="1">
      <alignment horizontal="right"/>
      <protection locked="0"/>
    </xf>
    <xf numFmtId="1" fontId="13" fillId="0" borderId="0" xfId="61" applyNumberFormat="1" applyFont="1" applyBorder="1" applyAlignment="1">
      <alignment horizontal="center"/>
      <protection/>
    </xf>
    <xf numFmtId="166" fontId="13" fillId="0" borderId="0" xfId="61" applyNumberFormat="1" applyFont="1" applyBorder="1" applyAlignment="1" applyProtection="1">
      <alignment horizontal="left"/>
      <protection/>
    </xf>
    <xf numFmtId="0" fontId="13" fillId="0" borderId="0" xfId="59" applyFont="1">
      <alignment/>
      <protection/>
    </xf>
    <xf numFmtId="167" fontId="14" fillId="0" borderId="0" xfId="40" applyNumberFormat="1" applyFont="1" applyFill="1" applyBorder="1">
      <alignment/>
      <protection/>
    </xf>
    <xf numFmtId="164" fontId="9" fillId="0" borderId="0" xfId="61" applyNumberFormat="1" applyFont="1" applyBorder="1" applyAlignment="1">
      <alignment horizontal="center"/>
      <protection/>
    </xf>
    <xf numFmtId="0" fontId="15" fillId="0" borderId="0" xfId="59" applyFont="1">
      <alignment/>
      <protection/>
    </xf>
    <xf numFmtId="3" fontId="9" fillId="0" borderId="0" xfId="61" applyNumberFormat="1" applyFont="1" applyBorder="1" applyAlignment="1">
      <alignment horizontal="center"/>
      <protection/>
    </xf>
    <xf numFmtId="37" fontId="13" fillId="0" borderId="0" xfId="59" applyNumberFormat="1" applyFont="1">
      <alignment/>
      <protection/>
    </xf>
    <xf numFmtId="0" fontId="13" fillId="0" borderId="0" xfId="59" applyFont="1" applyAlignment="1">
      <alignment horizontal="center"/>
      <protection/>
    </xf>
    <xf numFmtId="3" fontId="13" fillId="0" borderId="0" xfId="59" applyNumberFormat="1" applyFont="1">
      <alignment/>
      <protection/>
    </xf>
    <xf numFmtId="166" fontId="9" fillId="0" borderId="0" xfId="61" applyNumberFormat="1" applyFont="1" applyFill="1" applyBorder="1" applyAlignment="1" applyProtection="1">
      <alignment horizontal="left"/>
      <protection/>
    </xf>
    <xf numFmtId="167" fontId="9" fillId="0" borderId="0" xfId="40" applyNumberFormat="1" applyFont="1" applyFill="1" applyBorder="1" applyAlignment="1">
      <alignment horizontal="center"/>
      <protection/>
    </xf>
    <xf numFmtId="37" fontId="9" fillId="0" borderId="0" xfId="61" applyNumberFormat="1" applyFont="1" applyFill="1" applyBorder="1" applyAlignment="1" applyProtection="1">
      <alignment horizontal="center"/>
      <protection/>
    </xf>
    <xf numFmtId="164" fontId="9" fillId="0" borderId="0" xfId="40" applyNumberFormat="1" applyFont="1" applyFill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6" fontId="9" fillId="0" borderId="70" xfId="61" applyNumberFormat="1" applyFont="1" applyFill="1" applyBorder="1" applyAlignment="1" applyProtection="1">
      <alignment horizontal="left"/>
      <protection/>
    </xf>
    <xf numFmtId="37" fontId="9" fillId="0" borderId="68" xfId="61" applyNumberFormat="1" applyFont="1" applyFill="1" applyBorder="1" applyAlignment="1" applyProtection="1">
      <alignment horizontal="center"/>
      <protection/>
    </xf>
    <xf numFmtId="37" fontId="9" fillId="0" borderId="73" xfId="61" applyNumberFormat="1" applyFont="1" applyFill="1" applyBorder="1" applyAlignment="1" applyProtection="1">
      <alignment horizontal="center"/>
      <protection/>
    </xf>
    <xf numFmtId="0" fontId="9" fillId="0" borderId="73" xfId="59" applyFont="1" applyFill="1" applyBorder="1" applyAlignment="1">
      <alignment horizontal="center"/>
      <protection/>
    </xf>
    <xf numFmtId="0" fontId="9" fillId="0" borderId="68" xfId="59" applyFont="1" applyFill="1" applyBorder="1" applyAlignment="1">
      <alignment horizontal="center"/>
      <protection/>
    </xf>
    <xf numFmtId="0" fontId="79" fillId="0" borderId="73" xfId="59" applyFont="1" applyFill="1" applyBorder="1" applyAlignment="1">
      <alignment horizontal="center"/>
      <protection/>
    </xf>
    <xf numFmtId="3" fontId="79" fillId="0" borderId="74" xfId="59" applyNumberFormat="1" applyFont="1" applyBorder="1" applyAlignment="1">
      <alignment horizontal="center"/>
      <protection/>
    </xf>
    <xf numFmtId="3" fontId="79" fillId="0" borderId="72" xfId="59" applyNumberFormat="1" applyFont="1" applyBorder="1" applyAlignment="1">
      <alignment horizontal="center"/>
      <protection/>
    </xf>
    <xf numFmtId="37" fontId="79" fillId="0" borderId="75" xfId="61" applyNumberFormat="1" applyFont="1" applyFill="1" applyBorder="1" applyAlignment="1" applyProtection="1">
      <alignment horizontal="center"/>
      <protection/>
    </xf>
    <xf numFmtId="37" fontId="9" fillId="0" borderId="75" xfId="61" applyNumberFormat="1" applyFont="1" applyFill="1" applyBorder="1" applyAlignment="1" applyProtection="1">
      <alignment horizontal="center"/>
      <protection/>
    </xf>
    <xf numFmtId="0" fontId="9" fillId="0" borderId="74" xfId="59" applyFont="1" applyBorder="1" applyAlignment="1">
      <alignment horizontal="center"/>
      <protection/>
    </xf>
    <xf numFmtId="0" fontId="13" fillId="0" borderId="76" xfId="59" applyFont="1" applyBorder="1" applyAlignment="1">
      <alignment horizontal="center"/>
      <protection/>
    </xf>
    <xf numFmtId="0" fontId="13" fillId="0" borderId="69" xfId="59" applyFont="1" applyBorder="1" applyAlignment="1">
      <alignment horizontal="center"/>
      <protection/>
    </xf>
    <xf numFmtId="166" fontId="9" fillId="0" borderId="16" xfId="61" applyNumberFormat="1" applyFont="1" applyFill="1" applyBorder="1" applyAlignment="1" applyProtection="1">
      <alignment horizontal="left"/>
      <protection/>
    </xf>
    <xf numFmtId="37" fontId="9" fillId="0" borderId="30" xfId="61" applyNumberFormat="1" applyFont="1" applyFill="1" applyBorder="1" applyAlignment="1" applyProtection="1">
      <alignment horizontal="center"/>
      <protection/>
    </xf>
    <xf numFmtId="37" fontId="9" fillId="0" borderId="42" xfId="61" applyNumberFormat="1" applyFont="1" applyFill="1" applyBorder="1" applyAlignment="1" applyProtection="1">
      <alignment horizontal="center"/>
      <protection/>
    </xf>
    <xf numFmtId="0" fontId="9" fillId="0" borderId="77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37" fontId="9" fillId="0" borderId="78" xfId="61" applyNumberFormat="1" applyFont="1" applyFill="1" applyBorder="1" applyAlignment="1" applyProtection="1">
      <alignment horizontal="center"/>
      <protection/>
    </xf>
    <xf numFmtId="0" fontId="13" fillId="0" borderId="79" xfId="59" applyFont="1" applyBorder="1" applyAlignment="1">
      <alignment horizontal="center"/>
      <protection/>
    </xf>
    <xf numFmtId="0" fontId="13" fillId="0" borderId="65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12" xfId="59" applyFont="1" applyBorder="1">
      <alignment/>
      <protection/>
    </xf>
    <xf numFmtId="168" fontId="9" fillId="0" borderId="11" xfId="59" applyNumberFormat="1" applyFont="1" applyBorder="1" applyAlignment="1">
      <alignment horizontal="center"/>
      <protection/>
    </xf>
    <xf numFmtId="168" fontId="9" fillId="0" borderId="80" xfId="59" applyNumberFormat="1" applyFont="1" applyBorder="1" applyAlignment="1">
      <alignment horizontal="center"/>
      <protection/>
    </xf>
    <xf numFmtId="168" fontId="9" fillId="0" borderId="80" xfId="59" applyNumberFormat="1" applyFont="1" applyFill="1" applyBorder="1" applyAlignment="1">
      <alignment horizontal="center"/>
      <protection/>
    </xf>
    <xf numFmtId="168" fontId="9" fillId="0" borderId="11" xfId="59" applyNumberFormat="1" applyFont="1" applyFill="1" applyBorder="1" applyAlignment="1">
      <alignment horizontal="center"/>
      <protection/>
    </xf>
    <xf numFmtId="168" fontId="9" fillId="0" borderId="81" xfId="59" applyNumberFormat="1" applyFont="1" applyBorder="1" applyAlignment="1">
      <alignment horizontal="center"/>
      <protection/>
    </xf>
    <xf numFmtId="168" fontId="9" fillId="0" borderId="13" xfId="59" applyNumberFormat="1" applyFont="1" applyBorder="1" applyAlignment="1">
      <alignment horizontal="center"/>
      <protection/>
    </xf>
    <xf numFmtId="168" fontId="9" fillId="0" borderId="82" xfId="59" applyNumberFormat="1" applyFont="1" applyFill="1" applyBorder="1" applyAlignment="1">
      <alignment horizontal="center"/>
      <protection/>
    </xf>
    <xf numFmtId="168" fontId="9" fillId="0" borderId="83" xfId="59" applyNumberFormat="1" applyFont="1" applyBorder="1" applyAlignment="1">
      <alignment horizontal="center"/>
      <protection/>
    </xf>
    <xf numFmtId="3" fontId="10" fillId="0" borderId="84" xfId="59" applyNumberFormat="1" applyFont="1" applyBorder="1" applyAlignment="1">
      <alignment horizontal="center"/>
      <protection/>
    </xf>
    <xf numFmtId="3" fontId="9" fillId="0" borderId="0" xfId="59" applyNumberFormat="1" applyFont="1">
      <alignment/>
      <protection/>
    </xf>
    <xf numFmtId="3" fontId="9" fillId="0" borderId="0" xfId="59" applyNumberFormat="1" applyFont="1" applyBorder="1">
      <alignment/>
      <protection/>
    </xf>
    <xf numFmtId="3" fontId="9" fillId="0" borderId="0" xfId="61" applyNumberFormat="1" applyFont="1" applyBorder="1">
      <alignment/>
      <protection/>
    </xf>
    <xf numFmtId="166" fontId="9" fillId="0" borderId="85" xfId="61" applyNumberFormat="1" applyFont="1" applyFill="1" applyBorder="1" applyAlignment="1" applyProtection="1">
      <alignment horizontal="left"/>
      <protection/>
    </xf>
    <xf numFmtId="3" fontId="9" fillId="0" borderId="73" xfId="61" applyNumberFormat="1" applyFont="1" applyFill="1" applyBorder="1" applyAlignment="1" applyProtection="1">
      <alignment horizontal="center"/>
      <protection/>
    </xf>
    <xf numFmtId="3" fontId="9" fillId="0" borderId="68" xfId="61" applyNumberFormat="1" applyFont="1" applyFill="1" applyBorder="1" applyAlignment="1" applyProtection="1">
      <alignment horizontal="center"/>
      <protection/>
    </xf>
    <xf numFmtId="38" fontId="9" fillId="0" borderId="72" xfId="61" applyNumberFormat="1" applyFont="1" applyFill="1" applyBorder="1" applyAlignment="1" applyProtection="1">
      <alignment horizontal="center"/>
      <protection/>
    </xf>
    <xf numFmtId="165" fontId="9" fillId="0" borderId="86" xfId="61" applyNumberFormat="1" applyFont="1" applyFill="1" applyBorder="1" applyAlignment="1" applyProtection="1">
      <alignment horizontal="center"/>
      <protection/>
    </xf>
    <xf numFmtId="169" fontId="9" fillId="0" borderId="87" xfId="59" applyNumberFormat="1" applyFont="1" applyBorder="1" applyAlignment="1">
      <alignment horizontal="center"/>
      <protection/>
    </xf>
    <xf numFmtId="0" fontId="9" fillId="0" borderId="69" xfId="59" applyFont="1" applyBorder="1" applyAlignment="1">
      <alignment/>
      <protection/>
    </xf>
    <xf numFmtId="166" fontId="9" fillId="0" borderId="88" xfId="61" applyNumberFormat="1" applyFont="1" applyFill="1" applyBorder="1" applyAlignment="1" applyProtection="1">
      <alignment horizontal="left"/>
      <protection/>
    </xf>
    <xf numFmtId="3" fontId="9" fillId="0" borderId="42" xfId="61" applyNumberFormat="1" applyFont="1" applyFill="1" applyBorder="1" applyAlignment="1" applyProtection="1">
      <alignment horizontal="center"/>
      <protection/>
    </xf>
    <xf numFmtId="3" fontId="9" fillId="0" borderId="30" xfId="61" applyNumberFormat="1" applyFont="1" applyFill="1" applyBorder="1" applyAlignment="1" applyProtection="1">
      <alignment horizontal="center"/>
      <protection/>
    </xf>
    <xf numFmtId="38" fontId="9" fillId="0" borderId="0" xfId="61" applyNumberFormat="1" applyFont="1" applyFill="1" applyBorder="1" applyAlignment="1" applyProtection="1">
      <alignment horizontal="center"/>
      <protection/>
    </xf>
    <xf numFmtId="165" fontId="9" fillId="0" borderId="89" xfId="61" applyNumberFormat="1" applyFont="1" applyFill="1" applyBorder="1" applyAlignment="1" applyProtection="1">
      <alignment horizontal="center"/>
      <protection/>
    </xf>
    <xf numFmtId="37" fontId="9" fillId="0" borderId="77" xfId="59" applyNumberFormat="1" applyFont="1" applyBorder="1" applyAlignment="1">
      <alignment horizontal="center"/>
      <protection/>
    </xf>
    <xf numFmtId="169" fontId="9" fillId="0" borderId="63" xfId="59" applyNumberFormat="1" applyFont="1" applyBorder="1" applyAlignment="1">
      <alignment horizontal="center"/>
      <protection/>
    </xf>
    <xf numFmtId="0" fontId="9" fillId="0" borderId="65" xfId="59" applyFont="1" applyBorder="1" applyAlignment="1">
      <alignment/>
      <protection/>
    </xf>
    <xf numFmtId="0" fontId="9" fillId="0" borderId="0" xfId="61" applyNumberFormat="1" applyFont="1" applyBorder="1" applyAlignment="1" applyProtection="1">
      <alignment horizontal="center"/>
      <protection/>
    </xf>
    <xf numFmtId="37" fontId="9" fillId="0" borderId="88" xfId="61" applyNumberFormat="1" applyFont="1" applyFill="1" applyBorder="1" applyAlignment="1" applyProtection="1">
      <alignment horizontal="left"/>
      <protection/>
    </xf>
    <xf numFmtId="38" fontId="9" fillId="0" borderId="65" xfId="59" applyNumberFormat="1" applyFont="1" applyBorder="1" applyAlignment="1">
      <alignment horizontal="left"/>
      <protection/>
    </xf>
    <xf numFmtId="37" fontId="9" fillId="0" borderId="65" xfId="59" applyNumberFormat="1" applyFont="1" applyBorder="1" applyAlignment="1">
      <alignment horizontal="left"/>
      <protection/>
    </xf>
    <xf numFmtId="38" fontId="9" fillId="0" borderId="88" xfId="61" applyNumberFormat="1" applyFont="1" applyFill="1" applyBorder="1" applyAlignment="1" applyProtection="1">
      <alignment horizontal="left"/>
      <protection/>
    </xf>
    <xf numFmtId="1" fontId="9" fillId="0" borderId="88" xfId="61" applyNumberFormat="1" applyFont="1" applyBorder="1" applyAlignment="1" applyProtection="1">
      <alignment horizontal="left"/>
      <protection/>
    </xf>
    <xf numFmtId="37" fontId="9" fillId="0" borderId="30" xfId="61" applyNumberFormat="1" applyFont="1" applyBorder="1" applyAlignment="1" applyProtection="1">
      <alignment horizontal="center"/>
      <protection/>
    </xf>
    <xf numFmtId="2" fontId="9" fillId="0" borderId="78" xfId="61" applyNumberFormat="1" applyFont="1" applyFill="1" applyBorder="1" applyAlignment="1" applyProtection="1">
      <alignment horizontal="center"/>
      <protection/>
    </xf>
    <xf numFmtId="0" fontId="10" fillId="0" borderId="0" xfId="61" applyNumberFormat="1" applyFont="1" applyBorder="1" applyAlignment="1" applyProtection="1">
      <alignment horizontal="center"/>
      <protection/>
    </xf>
    <xf numFmtId="1" fontId="9" fillId="0" borderId="90" xfId="59" applyNumberFormat="1" applyFont="1" applyBorder="1" applyAlignment="1">
      <alignment horizontal="left"/>
      <protection/>
    </xf>
    <xf numFmtId="37" fontId="9" fillId="0" borderId="91" xfId="61" applyNumberFormat="1" applyFont="1" applyBorder="1" applyAlignment="1" applyProtection="1">
      <alignment horizontal="center"/>
      <protection/>
    </xf>
    <xf numFmtId="37" fontId="9" fillId="0" borderId="92" xfId="61" applyNumberFormat="1" applyFont="1" applyFill="1" applyBorder="1" applyAlignment="1" applyProtection="1">
      <alignment horizontal="center"/>
      <protection/>
    </xf>
    <xf numFmtId="3" fontId="9" fillId="0" borderId="92" xfId="61" applyNumberFormat="1" applyFont="1" applyFill="1" applyBorder="1" applyAlignment="1" applyProtection="1">
      <alignment horizontal="center"/>
      <protection/>
    </xf>
    <xf numFmtId="3" fontId="9" fillId="0" borderId="91" xfId="61" applyNumberFormat="1" applyFont="1" applyFill="1" applyBorder="1" applyAlignment="1" applyProtection="1">
      <alignment horizontal="center"/>
      <protection/>
    </xf>
    <xf numFmtId="38" fontId="80" fillId="0" borderId="93" xfId="61" applyNumberFormat="1" applyFont="1" applyFill="1" applyBorder="1" applyAlignment="1" applyProtection="1">
      <alignment horizontal="center"/>
      <protection/>
    </xf>
    <xf numFmtId="38" fontId="80" fillId="0" borderId="94" xfId="61" applyNumberFormat="1" applyFont="1" applyFill="1" applyBorder="1" applyAlignment="1" applyProtection="1">
      <alignment horizontal="center"/>
      <protection/>
    </xf>
    <xf numFmtId="165" fontId="80" fillId="0" borderId="94" xfId="59" applyNumberFormat="1" applyFont="1" applyFill="1" applyBorder="1">
      <alignment/>
      <protection/>
    </xf>
    <xf numFmtId="169" fontId="9" fillId="0" borderId="95" xfId="59" applyNumberFormat="1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0" fontId="10" fillId="34" borderId="88" xfId="59" applyFont="1" applyFill="1" applyBorder="1" applyAlignment="1">
      <alignment horizontal="right"/>
      <protection/>
    </xf>
    <xf numFmtId="37" fontId="9" fillId="34" borderId="30" xfId="61" applyNumberFormat="1" applyFont="1" applyFill="1" applyBorder="1" applyAlignment="1" applyProtection="1">
      <alignment horizontal="center"/>
      <protection/>
    </xf>
    <xf numFmtId="37" fontId="9" fillId="34" borderId="42" xfId="61" applyNumberFormat="1" applyFont="1" applyFill="1" applyBorder="1" applyAlignment="1" applyProtection="1">
      <alignment horizontal="center"/>
      <protection/>
    </xf>
    <xf numFmtId="38" fontId="9" fillId="34" borderId="30" xfId="61" applyNumberFormat="1" applyFont="1" applyFill="1" applyBorder="1" applyAlignment="1" applyProtection="1">
      <alignment horizontal="center"/>
      <protection/>
    </xf>
    <xf numFmtId="38" fontId="10" fillId="34" borderId="0" xfId="61" applyNumberFormat="1" applyFont="1" applyFill="1" applyBorder="1" applyAlignment="1" applyProtection="1">
      <alignment horizontal="center"/>
      <protection/>
    </xf>
    <xf numFmtId="165" fontId="9" fillId="34" borderId="0" xfId="59" applyNumberFormat="1" applyFont="1" applyFill="1" applyBorder="1" applyAlignment="1">
      <alignment horizontal="center"/>
      <protection/>
    </xf>
    <xf numFmtId="169" fontId="9" fillId="34" borderId="79" xfId="59" applyNumberFormat="1" applyFont="1" applyFill="1" applyBorder="1" applyAlignment="1">
      <alignment horizontal="center"/>
      <protection/>
    </xf>
    <xf numFmtId="0" fontId="9" fillId="34" borderId="96" xfId="59" applyFont="1" applyFill="1" applyBorder="1" applyAlignment="1">
      <alignment/>
      <protection/>
    </xf>
    <xf numFmtId="0" fontId="10" fillId="0" borderId="88" xfId="59" applyFont="1" applyBorder="1" applyAlignment="1">
      <alignment horizontal="right"/>
      <protection/>
    </xf>
    <xf numFmtId="38" fontId="9" fillId="0" borderId="30" xfId="61" applyNumberFormat="1" applyFont="1" applyFill="1" applyBorder="1" applyAlignment="1" applyProtection="1">
      <alignment horizontal="center"/>
      <protection/>
    </xf>
    <xf numFmtId="38" fontId="16" fillId="0" borderId="0" xfId="61" applyNumberFormat="1" applyFont="1" applyFill="1" applyBorder="1" applyAlignment="1" applyProtection="1">
      <alignment horizontal="center"/>
      <protection/>
    </xf>
    <xf numFmtId="165" fontId="9" fillId="0" borderId="0" xfId="59" applyNumberFormat="1" applyFont="1" applyFill="1" applyBorder="1" applyAlignment="1">
      <alignment horizontal="center"/>
      <protection/>
    </xf>
    <xf numFmtId="37" fontId="9" fillId="0" borderId="77" xfId="59" applyNumberFormat="1" applyFont="1" applyBorder="1">
      <alignment/>
      <protection/>
    </xf>
    <xf numFmtId="2" fontId="9" fillId="0" borderId="79" xfId="59" applyNumberFormat="1" applyFont="1" applyBorder="1" applyAlignment="1">
      <alignment horizontal="center"/>
      <protection/>
    </xf>
    <xf numFmtId="1" fontId="10" fillId="0" borderId="88" xfId="61" applyNumberFormat="1" applyFont="1" applyBorder="1" applyAlignment="1" applyProtection="1">
      <alignment horizontal="right"/>
      <protection/>
    </xf>
    <xf numFmtId="37" fontId="9" fillId="0" borderId="97" xfId="59" applyNumberFormat="1" applyFont="1" applyBorder="1" applyAlignment="1">
      <alignment horizontal="center"/>
      <protection/>
    </xf>
    <xf numFmtId="38" fontId="9" fillId="0" borderId="98" xfId="59" applyNumberFormat="1" applyFont="1" applyFill="1" applyBorder="1" applyAlignment="1">
      <alignment horizontal="center"/>
      <protection/>
    </xf>
    <xf numFmtId="38" fontId="10" fillId="0" borderId="0" xfId="59" applyNumberFormat="1" applyFont="1" applyFill="1" applyBorder="1" applyAlignment="1">
      <alignment horizontal="center"/>
      <protection/>
    </xf>
    <xf numFmtId="2" fontId="9" fillId="0" borderId="63" xfId="59" applyNumberFormat="1" applyFont="1" applyBorder="1" applyAlignment="1">
      <alignment horizontal="center"/>
      <protection/>
    </xf>
    <xf numFmtId="37" fontId="9" fillId="0" borderId="42" xfId="61" applyNumberFormat="1" applyFont="1" applyBorder="1" applyAlignment="1" applyProtection="1">
      <alignment horizontal="center"/>
      <protection/>
    </xf>
    <xf numFmtId="38" fontId="10" fillId="0" borderId="0" xfId="61" applyNumberFormat="1" applyFont="1" applyFill="1" applyBorder="1" applyAlignment="1" applyProtection="1">
      <alignment horizontal="center"/>
      <protection/>
    </xf>
    <xf numFmtId="1" fontId="10" fillId="0" borderId="88" xfId="59" applyNumberFormat="1" applyFont="1" applyFill="1" applyBorder="1" applyAlignment="1">
      <alignment horizontal="right"/>
      <protection/>
    </xf>
    <xf numFmtId="3" fontId="9" fillId="0" borderId="98" xfId="59" applyNumberFormat="1" applyFont="1" applyFill="1" applyBorder="1" applyAlignment="1">
      <alignment horizontal="center"/>
      <protection/>
    </xf>
    <xf numFmtId="3" fontId="10" fillId="0" borderId="0" xfId="59" applyNumberFormat="1" applyFont="1" applyFill="1" applyBorder="1" applyAlignment="1">
      <alignment horizontal="center"/>
      <protection/>
    </xf>
    <xf numFmtId="164" fontId="9" fillId="0" borderId="0" xfId="59" applyNumberFormat="1" applyFont="1" applyFill="1" applyBorder="1" applyAlignment="1">
      <alignment horizontal="center"/>
      <protection/>
    </xf>
    <xf numFmtId="0" fontId="9" fillId="0" borderId="63" xfId="59" applyFont="1" applyFill="1" applyBorder="1" applyAlignment="1">
      <alignment horizontal="center"/>
      <protection/>
    </xf>
    <xf numFmtId="0" fontId="10" fillId="0" borderId="88" xfId="59" applyFont="1" applyFill="1" applyBorder="1" applyAlignment="1">
      <alignment horizontal="right"/>
      <protection/>
    </xf>
    <xf numFmtId="37" fontId="9" fillId="0" borderId="97" xfId="61" applyNumberFormat="1" applyFont="1" applyFill="1" applyBorder="1" applyAlignment="1" applyProtection="1">
      <alignment horizontal="center"/>
      <protection/>
    </xf>
    <xf numFmtId="37" fontId="9" fillId="0" borderId="97" xfId="59" applyNumberFormat="1" applyFont="1" applyFill="1" applyBorder="1" applyAlignment="1">
      <alignment horizontal="center"/>
      <protection/>
    </xf>
    <xf numFmtId="37" fontId="9" fillId="0" borderId="98" xfId="59" applyNumberFormat="1" applyFont="1" applyFill="1" applyBorder="1" applyAlignment="1">
      <alignment horizontal="center"/>
      <protection/>
    </xf>
    <xf numFmtId="37" fontId="10" fillId="0" borderId="0" xfId="59" applyNumberFormat="1" applyFont="1" applyFill="1" applyBorder="1" applyAlignment="1">
      <alignment horizontal="center"/>
      <protection/>
    </xf>
    <xf numFmtId="164" fontId="10" fillId="0" borderId="0" xfId="59" applyNumberFormat="1" applyFont="1" applyFill="1" applyBorder="1" applyAlignment="1">
      <alignment horizontal="center"/>
      <protection/>
    </xf>
    <xf numFmtId="38" fontId="10" fillId="0" borderId="0" xfId="59" applyNumberFormat="1" applyFont="1" applyBorder="1">
      <alignment/>
      <protection/>
    </xf>
    <xf numFmtId="37" fontId="9" fillId="0" borderId="42" xfId="59" applyNumberFormat="1" applyFont="1" applyFill="1" applyBorder="1" applyAlignment="1">
      <alignment horizontal="center"/>
      <protection/>
    </xf>
    <xf numFmtId="37" fontId="9" fillId="0" borderId="30" xfId="59" applyNumberFormat="1" applyFont="1" applyFill="1" applyBorder="1" applyAlignment="1">
      <alignment horizontal="center"/>
      <protection/>
    </xf>
    <xf numFmtId="164" fontId="9" fillId="0" borderId="0" xfId="59" applyNumberFormat="1" applyFont="1" applyFill="1" applyBorder="1">
      <alignment/>
      <protection/>
    </xf>
    <xf numFmtId="38" fontId="81" fillId="0" borderId="99" xfId="61" applyNumberFormat="1" applyFont="1" applyFill="1" applyBorder="1" applyAlignment="1" applyProtection="1">
      <alignment horizontal="center"/>
      <protection/>
    </xf>
    <xf numFmtId="0" fontId="9" fillId="0" borderId="65" xfId="59" applyFont="1" applyFill="1" applyBorder="1" applyAlignment="1">
      <alignment/>
      <protection/>
    </xf>
    <xf numFmtId="166" fontId="18" fillId="0" borderId="88" xfId="61" applyNumberFormat="1" applyFont="1" applyFill="1" applyBorder="1" applyAlignment="1" applyProtection="1">
      <alignment horizontal="left"/>
      <protection/>
    </xf>
    <xf numFmtId="37" fontId="10" fillId="0" borderId="42" xfId="61" applyNumberFormat="1" applyFont="1" applyBorder="1" applyAlignment="1" applyProtection="1">
      <alignment horizontal="center"/>
      <protection/>
    </xf>
    <xf numFmtId="37" fontId="9" fillId="0" borderId="42" xfId="59" applyNumberFormat="1" applyFont="1" applyBorder="1" applyAlignment="1">
      <alignment horizontal="center"/>
      <protection/>
    </xf>
    <xf numFmtId="38" fontId="9" fillId="0" borderId="100" xfId="59" applyNumberFormat="1" applyFont="1" applyFill="1" applyBorder="1">
      <alignment/>
      <protection/>
    </xf>
    <xf numFmtId="38" fontId="9" fillId="0" borderId="42" xfId="59" applyNumberFormat="1" applyFont="1" applyFill="1" applyBorder="1">
      <alignment/>
      <protection/>
    </xf>
    <xf numFmtId="38" fontId="9" fillId="0" borderId="77" xfId="59" applyNumberFormat="1" applyFont="1" applyFill="1" applyBorder="1">
      <alignment/>
      <protection/>
    </xf>
    <xf numFmtId="38" fontId="10" fillId="0" borderId="0" xfId="59" applyNumberFormat="1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9" fillId="0" borderId="79" xfId="59" applyFont="1" applyBorder="1" applyAlignment="1">
      <alignment horizontal="center"/>
      <protection/>
    </xf>
    <xf numFmtId="0" fontId="9" fillId="0" borderId="101" xfId="59" applyFont="1" applyBorder="1" applyAlignment="1">
      <alignment horizontal="right"/>
      <protection/>
    </xf>
    <xf numFmtId="37" fontId="9" fillId="0" borderId="80" xfId="59" applyNumberFormat="1" applyFont="1" applyBorder="1" applyAlignment="1">
      <alignment horizontal="center"/>
      <protection/>
    </xf>
    <xf numFmtId="37" fontId="20" fillId="0" borderId="80" xfId="59" applyNumberFormat="1" applyFont="1" applyBorder="1" applyAlignment="1">
      <alignment horizontal="center" vertical="top"/>
      <protection/>
    </xf>
    <xf numFmtId="10" fontId="20" fillId="0" borderId="11" xfId="59" applyNumberFormat="1" applyFont="1" applyFill="1" applyBorder="1" applyAlignment="1">
      <alignment horizontal="center" vertical="top"/>
      <protection/>
    </xf>
    <xf numFmtId="10" fontId="20" fillId="0" borderId="80" xfId="59" applyNumberFormat="1" applyFont="1" applyFill="1" applyBorder="1" applyAlignment="1">
      <alignment horizontal="center" vertical="top"/>
      <protection/>
    </xf>
    <xf numFmtId="10" fontId="20" fillId="0" borderId="81" xfId="59" applyNumberFormat="1" applyFont="1" applyFill="1" applyBorder="1" applyAlignment="1">
      <alignment horizontal="center" vertical="top"/>
      <protection/>
    </xf>
    <xf numFmtId="10" fontId="20" fillId="0" borderId="13" xfId="59" applyNumberFormat="1" applyFont="1" applyFill="1" applyBorder="1" applyAlignment="1">
      <alignment horizontal="center" vertical="top"/>
      <protection/>
    </xf>
    <xf numFmtId="0" fontId="19" fillId="0" borderId="13" xfId="59" applyFont="1" applyFill="1" applyBorder="1">
      <alignment/>
      <protection/>
    </xf>
    <xf numFmtId="37" fontId="9" fillId="0" borderId="81" xfId="59" applyNumberFormat="1" applyFont="1" applyFill="1" applyBorder="1">
      <alignment/>
      <protection/>
    </xf>
    <xf numFmtId="0" fontId="9" fillId="0" borderId="83" xfId="59" applyFont="1" applyBorder="1" applyAlignment="1">
      <alignment horizontal="center"/>
      <protection/>
    </xf>
    <xf numFmtId="0" fontId="9" fillId="0" borderId="84" xfId="59" applyFont="1" applyBorder="1" applyAlignment="1">
      <alignment horizontal="left"/>
      <protection/>
    </xf>
    <xf numFmtId="0" fontId="9" fillId="0" borderId="0" xfId="59" applyFont="1" applyBorder="1" applyAlignment="1">
      <alignment horizontal="right"/>
      <protection/>
    </xf>
    <xf numFmtId="37" fontId="19" fillId="0" borderId="0" xfId="59" applyNumberFormat="1" applyFont="1" applyBorder="1">
      <alignment/>
      <protection/>
    </xf>
    <xf numFmtId="37" fontId="9" fillId="0" borderId="0" xfId="59" applyNumberFormat="1" applyFont="1" applyBorder="1">
      <alignment/>
      <protection/>
    </xf>
    <xf numFmtId="37" fontId="20" fillId="0" borderId="0" xfId="59" applyNumberFormat="1" applyFont="1" applyBorder="1" applyAlignment="1">
      <alignment horizontal="center" vertical="top"/>
      <protection/>
    </xf>
    <xf numFmtId="164" fontId="9" fillId="0" borderId="0" xfId="59" applyNumberFormat="1" applyFont="1" applyBorder="1">
      <alignment/>
      <protection/>
    </xf>
    <xf numFmtId="10" fontId="20" fillId="0" borderId="0" xfId="59" applyNumberFormat="1" applyFont="1" applyBorder="1" applyAlignment="1">
      <alignment horizontal="center" vertical="top"/>
      <protection/>
    </xf>
    <xf numFmtId="0" fontId="19" fillId="0" borderId="0" xfId="59" applyFont="1" applyBorder="1">
      <alignment/>
      <protection/>
    </xf>
    <xf numFmtId="3" fontId="20" fillId="0" borderId="0" xfId="59" applyNumberFormat="1" applyFont="1" applyBorder="1" applyAlignment="1">
      <alignment horizontal="center" vertical="top"/>
      <protection/>
    </xf>
    <xf numFmtId="40" fontId="9" fillId="0" borderId="0" xfId="59" applyNumberFormat="1" applyFont="1" applyBorder="1">
      <alignment/>
      <protection/>
    </xf>
    <xf numFmtId="37" fontId="9" fillId="0" borderId="0" xfId="59" applyNumberFormat="1" applyFont="1" applyBorder="1" applyAlignment="1">
      <alignment/>
      <protection/>
    </xf>
    <xf numFmtId="39" fontId="9" fillId="0" borderId="0" xfId="59" applyNumberFormat="1" applyFont="1" applyBorder="1" applyAlignment="1">
      <alignment horizontal="center"/>
      <protection/>
    </xf>
    <xf numFmtId="38" fontId="9" fillId="0" borderId="0" xfId="59" applyNumberFormat="1" applyFont="1" applyBorder="1" applyAlignment="1">
      <alignment horizontal="center"/>
      <protection/>
    </xf>
    <xf numFmtId="37" fontId="9" fillId="0" borderId="0" xfId="61" applyNumberFormat="1" applyFont="1" applyFill="1" applyBorder="1" applyAlignment="1" applyProtection="1">
      <alignment horizontal="right"/>
      <protection/>
    </xf>
    <xf numFmtId="0" fontId="10" fillId="0" borderId="0" xfId="59" applyFont="1" applyBorder="1" applyAlignment="1">
      <alignment horizontal="right"/>
      <protection/>
    </xf>
    <xf numFmtId="37" fontId="9" fillId="0" borderId="0" xfId="59" applyNumberFormat="1" applyFont="1" applyBorder="1" applyAlignment="1">
      <alignment horizontal="center"/>
      <protection/>
    </xf>
    <xf numFmtId="37" fontId="9" fillId="0" borderId="0" xfId="59" applyNumberFormat="1" applyFont="1" applyBorder="1" applyAlignment="1">
      <alignment horizontal="right"/>
      <protection/>
    </xf>
    <xf numFmtId="37" fontId="10" fillId="0" borderId="0" xfId="59" applyNumberFormat="1" applyFont="1" applyBorder="1" applyAlignment="1">
      <alignment horizontal="center"/>
      <protection/>
    </xf>
    <xf numFmtId="37" fontId="10" fillId="0" borderId="0" xfId="59" applyNumberFormat="1" applyFont="1" applyBorder="1" applyAlignment="1">
      <alignment horizontal="right"/>
      <protection/>
    </xf>
    <xf numFmtId="3" fontId="9" fillId="0" borderId="0" xfId="59" applyNumberFormat="1" applyFont="1" applyBorder="1" applyAlignment="1">
      <alignment horizontal="center"/>
      <protection/>
    </xf>
    <xf numFmtId="3" fontId="9" fillId="0" borderId="0" xfId="59" applyNumberFormat="1" applyFont="1" applyBorder="1" applyAlignment="1">
      <alignment horizontal="right"/>
      <protection/>
    </xf>
    <xf numFmtId="3" fontId="10" fillId="0" borderId="0" xfId="59" applyNumberFormat="1" applyFont="1" applyBorder="1" applyAlignment="1">
      <alignment horizontal="right"/>
      <protection/>
    </xf>
    <xf numFmtId="3" fontId="10" fillId="0" borderId="0" xfId="59" applyNumberFormat="1" applyFont="1" applyBorder="1" applyAlignment="1">
      <alignment horizontal="center"/>
      <protection/>
    </xf>
    <xf numFmtId="0" fontId="9" fillId="0" borderId="0" xfId="59" applyFont="1" applyBorder="1" applyAlignment="1">
      <alignment horizontal="left"/>
      <protection/>
    </xf>
    <xf numFmtId="10" fontId="9" fillId="0" borderId="0" xfId="59" applyNumberFormat="1" applyFont="1" applyBorder="1" applyAlignment="1">
      <alignment horizontal="center"/>
      <protection/>
    </xf>
    <xf numFmtId="0" fontId="9" fillId="0" borderId="0" xfId="59" applyFont="1" applyBorder="1" quotePrefix="1">
      <alignment/>
      <protection/>
    </xf>
    <xf numFmtId="38" fontId="9" fillId="0" borderId="0" xfId="59" applyNumberFormat="1" applyFont="1" applyBorder="1">
      <alignment/>
      <protection/>
    </xf>
    <xf numFmtId="164" fontId="9" fillId="0" borderId="0" xfId="59" applyNumberFormat="1" applyFont="1">
      <alignment/>
      <protection/>
    </xf>
    <xf numFmtId="3" fontId="9" fillId="0" borderId="94" xfId="59" applyNumberFormat="1" applyFont="1" applyBorder="1">
      <alignment/>
      <protection/>
    </xf>
    <xf numFmtId="165" fontId="9" fillId="0" borderId="75" xfId="61" applyNumberFormat="1" applyFont="1" applyFill="1" applyBorder="1" applyAlignment="1" applyProtection="1">
      <alignment horizontal="center"/>
      <protection/>
    </xf>
    <xf numFmtId="165" fontId="9" fillId="0" borderId="78" xfId="61" applyNumberFormat="1" applyFont="1" applyFill="1" applyBorder="1" applyAlignment="1" applyProtection="1">
      <alignment horizontal="center"/>
      <protection/>
    </xf>
    <xf numFmtId="37" fontId="9" fillId="0" borderId="102" xfId="59" applyNumberFormat="1" applyFont="1" applyBorder="1" applyAlignment="1">
      <alignment horizontal="center"/>
      <protection/>
    </xf>
    <xf numFmtId="38" fontId="81" fillId="0" borderId="84" xfId="61" applyNumberFormat="1" applyFont="1" applyFill="1" applyBorder="1" applyAlignment="1" applyProtection="1">
      <alignment horizontal="center"/>
      <protection/>
    </xf>
    <xf numFmtId="38" fontId="82" fillId="0" borderId="0" xfId="61" applyNumberFormat="1" applyFont="1" applyFill="1" applyBorder="1" applyAlignment="1" applyProtection="1">
      <alignment horizontal="center"/>
      <protection/>
    </xf>
    <xf numFmtId="38" fontId="9" fillId="0" borderId="103" xfId="59" applyNumberFormat="1" applyFont="1" applyFill="1" applyBorder="1" applyAlignment="1">
      <alignment horizontal="center"/>
      <protection/>
    </xf>
    <xf numFmtId="38" fontId="9" fillId="0" borderId="103" xfId="61" applyNumberFormat="1" applyFont="1" applyFill="1" applyBorder="1" applyAlignment="1" applyProtection="1">
      <alignment horizontal="center"/>
      <protection/>
    </xf>
    <xf numFmtId="38" fontId="80" fillId="0" borderId="77" xfId="61" applyNumberFormat="1" applyFont="1" applyFill="1" applyBorder="1" applyAlignment="1" applyProtection="1">
      <alignment horizontal="center"/>
      <protection/>
    </xf>
    <xf numFmtId="165" fontId="9" fillId="0" borderId="0" xfId="59" applyNumberFormat="1" applyFont="1" applyFill="1" applyBorder="1">
      <alignment/>
      <protection/>
    </xf>
    <xf numFmtId="37" fontId="80" fillId="0" borderId="77" xfId="59" applyNumberFormat="1" applyFont="1" applyBorder="1" applyAlignment="1">
      <alignment horizontal="center"/>
      <protection/>
    </xf>
    <xf numFmtId="165" fontId="9" fillId="35" borderId="104" xfId="59" applyNumberFormat="1" applyFont="1" applyFill="1" applyBorder="1" applyAlignment="1">
      <alignment horizontal="center"/>
      <protection/>
    </xf>
    <xf numFmtId="38" fontId="9" fillId="34" borderId="105" xfId="61" applyNumberFormat="1" applyFont="1" applyFill="1" applyBorder="1" applyAlignment="1" applyProtection="1">
      <alignment horizontal="center"/>
      <protection/>
    </xf>
    <xf numFmtId="38" fontId="17" fillId="0" borderId="106" xfId="61" applyNumberFormat="1" applyFont="1" applyFill="1" applyBorder="1" applyAlignment="1" applyProtection="1">
      <alignment horizontal="center"/>
      <protection/>
    </xf>
    <xf numFmtId="37" fontId="82" fillId="0" borderId="107" xfId="59" applyNumberFormat="1" applyFont="1" applyBorder="1" applyAlignment="1">
      <alignment horizontal="center"/>
      <protection/>
    </xf>
    <xf numFmtId="37" fontId="82" fillId="0" borderId="102" xfId="59" applyNumberFormat="1" applyFont="1" applyBorder="1" applyAlignment="1">
      <alignment horizontal="center"/>
      <protection/>
    </xf>
    <xf numFmtId="0" fontId="60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left" wrapText="1"/>
    </xf>
    <xf numFmtId="3" fontId="8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left" wrapText="1"/>
    </xf>
    <xf numFmtId="3" fontId="3" fillId="0" borderId="24" xfId="61" applyNumberFormat="1" applyFont="1" applyFill="1" applyBorder="1" applyAlignment="1" applyProtection="1">
      <alignment horizontal="left"/>
      <protection locked="0"/>
    </xf>
    <xf numFmtId="3" fontId="4" fillId="0" borderId="14" xfId="61" applyNumberFormat="1" applyFont="1" applyFill="1" applyBorder="1" applyAlignment="1" applyProtection="1">
      <alignment horizontal="left"/>
      <protection locked="0"/>
    </xf>
    <xf numFmtId="3" fontId="3" fillId="0" borderId="14" xfId="61" applyNumberFormat="1" applyFont="1" applyFill="1" applyBorder="1" applyAlignment="1" applyProtection="1" quotePrefix="1">
      <alignment horizontal="left"/>
      <protection locked="0"/>
    </xf>
    <xf numFmtId="3" fontId="3" fillId="0" borderId="10" xfId="61" applyNumberFormat="1" applyFont="1" applyFill="1" applyBorder="1" applyAlignment="1" applyProtection="1">
      <alignment horizontal="left"/>
      <protection locked="0"/>
    </xf>
    <xf numFmtId="38" fontId="9" fillId="36" borderId="108" xfId="59" applyNumberFormat="1" applyFont="1" applyFill="1" applyBorder="1" applyAlignment="1">
      <alignment horizontal="center"/>
      <protection/>
    </xf>
    <xf numFmtId="37" fontId="9" fillId="0" borderId="109" xfId="59" applyNumberFormat="1" applyFont="1" applyBorder="1" applyAlignment="1">
      <alignment horizontal="center"/>
      <protection/>
    </xf>
    <xf numFmtId="37" fontId="9" fillId="0" borderId="109" xfId="59" applyNumberFormat="1" applyFont="1" applyFill="1" applyBorder="1" applyAlignment="1">
      <alignment horizontal="center"/>
      <protection/>
    </xf>
    <xf numFmtId="3" fontId="9" fillId="0" borderId="103" xfId="5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center"/>
    </xf>
    <xf numFmtId="37" fontId="3" fillId="0" borderId="110" xfId="61" applyNumberFormat="1" applyFont="1" applyFill="1" applyBorder="1" applyAlignment="1" applyProtection="1">
      <alignment horizontal="right"/>
      <protection/>
    </xf>
    <xf numFmtId="37" fontId="7" fillId="0" borderId="110" xfId="61" applyNumberFormat="1" applyFont="1" applyFill="1" applyBorder="1" applyAlignment="1" applyProtection="1">
      <alignment horizontal="right"/>
      <protection/>
    </xf>
    <xf numFmtId="37" fontId="3" fillId="0" borderId="111" xfId="61" applyNumberFormat="1" applyFont="1" applyFill="1" applyBorder="1" applyAlignment="1" applyProtection="1">
      <alignment horizontal="right"/>
      <protection/>
    </xf>
    <xf numFmtId="37" fontId="3" fillId="0" borderId="0" xfId="61" applyNumberFormat="1" applyFont="1" applyFill="1" applyBorder="1" applyAlignment="1" applyProtection="1">
      <alignment horizontal="right"/>
      <protection/>
    </xf>
    <xf numFmtId="37" fontId="7" fillId="0" borderId="0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right"/>
      <protection/>
    </xf>
    <xf numFmtId="3" fontId="3" fillId="0" borderId="17" xfId="61" applyNumberFormat="1" applyFont="1" applyFill="1" applyBorder="1" applyAlignment="1" applyProtection="1">
      <alignment horizontal="right"/>
      <protection/>
    </xf>
    <xf numFmtId="37" fontId="3" fillId="0" borderId="112" xfId="61" applyNumberFormat="1" applyFont="1" applyFill="1" applyBorder="1" applyAlignment="1" applyProtection="1">
      <alignment horizontal="right"/>
      <protection locked="0"/>
    </xf>
    <xf numFmtId="37" fontId="9" fillId="0" borderId="113" xfId="61" applyNumberFormat="1" applyFont="1" applyFill="1" applyBorder="1" applyAlignment="1" applyProtection="1">
      <alignment horizontal="right"/>
      <protection/>
    </xf>
    <xf numFmtId="37" fontId="3" fillId="0" borderId="13" xfId="61" applyNumberFormat="1" applyFont="1" applyFill="1" applyBorder="1" applyAlignment="1" applyProtection="1">
      <alignment horizontal="right"/>
      <protection/>
    </xf>
    <xf numFmtId="38" fontId="3" fillId="0" borderId="20" xfId="61" applyNumberFormat="1" applyFont="1" applyFill="1" applyBorder="1" applyAlignment="1" applyProtection="1">
      <alignment horizontal="right"/>
      <protection/>
    </xf>
    <xf numFmtId="38" fontId="3" fillId="0" borderId="114" xfId="61" applyNumberFormat="1" applyFont="1" applyFill="1" applyBorder="1" applyAlignment="1" applyProtection="1">
      <alignment horizontal="right"/>
      <protection/>
    </xf>
    <xf numFmtId="38" fontId="3" fillId="0" borderId="115" xfId="61" applyNumberFormat="1" applyFont="1" applyFill="1" applyBorder="1" applyAlignment="1" applyProtection="1">
      <alignment horizontal="right"/>
      <protection/>
    </xf>
    <xf numFmtId="38" fontId="3" fillId="0" borderId="116" xfId="61" applyNumberFormat="1" applyFont="1" applyFill="1" applyBorder="1" applyAlignment="1" applyProtection="1">
      <alignment horizontal="right"/>
      <protection/>
    </xf>
    <xf numFmtId="37" fontId="3" fillId="0" borderId="117" xfId="61" applyNumberFormat="1" applyFont="1" applyFill="1" applyBorder="1" applyAlignment="1" applyProtection="1">
      <alignment horizontal="right"/>
      <protection/>
    </xf>
    <xf numFmtId="38" fontId="3" fillId="0" borderId="117" xfId="61" applyNumberFormat="1" applyFont="1" applyFill="1" applyBorder="1" applyAlignment="1" applyProtection="1">
      <alignment horizontal="right" vertical="distributed"/>
      <protection/>
    </xf>
    <xf numFmtId="38" fontId="3" fillId="0" borderId="80" xfId="61" applyNumberFormat="1" applyFont="1" applyFill="1" applyBorder="1" applyAlignment="1" applyProtection="1">
      <alignment horizontal="right"/>
      <protection/>
    </xf>
    <xf numFmtId="37" fontId="3" fillId="0" borderId="80" xfId="61" applyNumberFormat="1" applyFont="1" applyFill="1" applyBorder="1" applyAlignment="1" applyProtection="1">
      <alignment horizontal="right"/>
      <protection/>
    </xf>
    <xf numFmtId="37" fontId="3" fillId="0" borderId="42" xfId="61" applyNumberFormat="1" applyFont="1" applyFill="1" applyBorder="1" applyAlignment="1" applyProtection="1">
      <alignment horizontal="right"/>
      <protection/>
    </xf>
    <xf numFmtId="37" fontId="3" fillId="0" borderId="110" xfId="61" applyNumberFormat="1" applyFont="1" applyFill="1" applyBorder="1" applyAlignment="1" applyProtection="1" quotePrefix="1">
      <alignment horizontal="right"/>
      <protection/>
    </xf>
    <xf numFmtId="37" fontId="3" fillId="0" borderId="118" xfId="61" applyNumberFormat="1" applyFont="1" applyFill="1" applyBorder="1" applyAlignment="1" applyProtection="1">
      <alignment horizontal="right"/>
      <protection/>
    </xf>
    <xf numFmtId="37" fontId="7" fillId="0" borderId="119" xfId="61" applyNumberFormat="1" applyFont="1" applyFill="1" applyBorder="1" applyAlignment="1" applyProtection="1">
      <alignment horizontal="right"/>
      <protection/>
    </xf>
    <xf numFmtId="37" fontId="3" fillId="0" borderId="119" xfId="61" applyNumberFormat="1" applyFont="1" applyFill="1" applyBorder="1" applyAlignment="1" applyProtection="1">
      <alignment horizontal="right"/>
      <protection/>
    </xf>
    <xf numFmtId="37" fontId="3" fillId="0" borderId="120" xfId="61" applyNumberFormat="1" applyFont="1" applyFill="1" applyBorder="1" applyAlignment="1" applyProtection="1">
      <alignment horizontal="right"/>
      <protection/>
    </xf>
    <xf numFmtId="37" fontId="3" fillId="0" borderId="121" xfId="61" applyNumberFormat="1" applyFont="1" applyFill="1" applyBorder="1" applyAlignment="1" applyProtection="1">
      <alignment horizontal="right"/>
      <protection/>
    </xf>
    <xf numFmtId="37" fontId="3" fillId="0" borderId="122" xfId="61" applyNumberFormat="1" applyFont="1" applyFill="1" applyBorder="1" applyAlignment="1" applyProtection="1">
      <alignment horizontal="right"/>
      <protection/>
    </xf>
    <xf numFmtId="37" fontId="3" fillId="0" borderId="123" xfId="61" applyNumberFormat="1" applyFont="1" applyFill="1" applyBorder="1" applyAlignment="1" applyProtection="1">
      <alignment horizontal="right"/>
      <protection/>
    </xf>
    <xf numFmtId="37" fontId="3" fillId="0" borderId="124" xfId="61" applyNumberFormat="1" applyFont="1" applyFill="1" applyBorder="1" applyAlignment="1" applyProtection="1">
      <alignment horizontal="right"/>
      <protection/>
    </xf>
    <xf numFmtId="37" fontId="3" fillId="0" borderId="29" xfId="61" applyNumberFormat="1" applyFont="1" applyFill="1" applyBorder="1" applyAlignment="1" applyProtection="1">
      <alignment horizontal="right"/>
      <protection locked="0"/>
    </xf>
    <xf numFmtId="38" fontId="3" fillId="0" borderId="125" xfId="61" applyNumberFormat="1" applyFont="1" applyFill="1" applyBorder="1" applyAlignment="1" applyProtection="1">
      <alignment horizontal="right"/>
      <protection/>
    </xf>
    <xf numFmtId="37" fontId="3" fillId="0" borderId="126" xfId="61" applyNumberFormat="1" applyFont="1" applyFill="1" applyBorder="1" applyAlignment="1" applyProtection="1">
      <alignment horizontal="right"/>
      <protection/>
    </xf>
    <xf numFmtId="37" fontId="7" fillId="0" borderId="126" xfId="61" applyNumberFormat="1" applyFont="1" applyFill="1" applyBorder="1" applyAlignment="1" applyProtection="1">
      <alignment horizontal="right"/>
      <protection/>
    </xf>
    <xf numFmtId="37" fontId="3" fillId="0" borderId="127" xfId="61" applyNumberFormat="1" applyFont="1" applyFill="1" applyBorder="1" applyAlignment="1" applyProtection="1">
      <alignment horizontal="right"/>
      <protection/>
    </xf>
    <xf numFmtId="37" fontId="3" fillId="0" borderId="128" xfId="61" applyNumberFormat="1" applyFont="1" applyFill="1" applyBorder="1" applyAlignment="1" applyProtection="1">
      <alignment horizontal="right"/>
      <protection/>
    </xf>
    <xf numFmtId="38" fontId="7" fillId="0" borderId="129" xfId="61" applyNumberFormat="1" applyFont="1" applyFill="1" applyBorder="1" applyAlignment="1" applyProtection="1">
      <alignment horizontal="right"/>
      <protection/>
    </xf>
    <xf numFmtId="38" fontId="7" fillId="0" borderId="126" xfId="61" applyNumberFormat="1" applyFont="1" applyFill="1" applyBorder="1" applyAlignment="1" applyProtection="1">
      <alignment horizontal="right"/>
      <protection/>
    </xf>
    <xf numFmtId="37" fontId="3" fillId="0" borderId="130" xfId="61" applyNumberFormat="1" applyFont="1" applyFill="1" applyBorder="1" applyAlignment="1" applyProtection="1">
      <alignment horizontal="right"/>
      <protection/>
    </xf>
    <xf numFmtId="38" fontId="3" fillId="0" borderId="131" xfId="61" applyNumberFormat="1" applyFont="1" applyFill="1" applyBorder="1" applyAlignment="1" applyProtection="1">
      <alignment horizontal="right"/>
      <protection/>
    </xf>
    <xf numFmtId="38" fontId="3" fillId="0" borderId="132" xfId="61" applyNumberFormat="1" applyFont="1" applyFill="1" applyBorder="1" applyAlignment="1" applyProtection="1">
      <alignment horizontal="right"/>
      <protection/>
    </xf>
    <xf numFmtId="3" fontId="3" fillId="0" borderId="132" xfId="61" applyNumberFormat="1" applyFont="1" applyFill="1" applyBorder="1" applyAlignment="1" applyProtection="1">
      <alignment horizontal="right"/>
      <protection/>
    </xf>
    <xf numFmtId="37" fontId="3" fillId="0" borderId="132" xfId="61" applyNumberFormat="1" applyFont="1" applyFill="1" applyBorder="1" applyAlignment="1" applyProtection="1">
      <alignment horizontal="right"/>
      <protection/>
    </xf>
    <xf numFmtId="38" fontId="7" fillId="0" borderId="133" xfId="61" applyNumberFormat="1" applyFont="1" applyFill="1" applyBorder="1" applyAlignment="1" applyProtection="1">
      <alignment horizontal="right"/>
      <protection/>
    </xf>
    <xf numFmtId="38" fontId="7" fillId="0" borderId="134" xfId="61" applyNumberFormat="1" applyFont="1" applyFill="1" applyBorder="1" applyAlignment="1" applyProtection="1">
      <alignment horizontal="right"/>
      <protection/>
    </xf>
    <xf numFmtId="38" fontId="7" fillId="0" borderId="132" xfId="61" applyNumberFormat="1" applyFont="1" applyFill="1" applyBorder="1" applyAlignment="1" applyProtection="1">
      <alignment horizontal="right"/>
      <protection/>
    </xf>
    <xf numFmtId="38" fontId="7" fillId="0" borderId="135" xfId="61" applyNumberFormat="1" applyFont="1" applyFill="1" applyBorder="1" applyAlignment="1" applyProtection="1">
      <alignment horizontal="right"/>
      <protection/>
    </xf>
    <xf numFmtId="38" fontId="3" fillId="0" borderId="132" xfId="61" applyNumberFormat="1" applyFont="1" applyFill="1" applyBorder="1" applyAlignment="1" applyProtection="1">
      <alignment horizontal="right" vertical="distributed"/>
      <protection/>
    </xf>
    <xf numFmtId="37" fontId="3" fillId="0" borderId="129" xfId="61" applyNumberFormat="1" applyFont="1" applyFill="1" applyBorder="1" applyAlignment="1" applyProtection="1">
      <alignment horizontal="right"/>
      <protection/>
    </xf>
    <xf numFmtId="37" fontId="3" fillId="0" borderId="125" xfId="61" applyNumberFormat="1" applyFont="1" applyFill="1" applyBorder="1" applyAlignment="1" applyProtection="1">
      <alignment horizontal="right"/>
      <protection/>
    </xf>
    <xf numFmtId="37" fontId="3" fillId="0" borderId="135" xfId="61" applyNumberFormat="1" applyFont="1" applyFill="1" applyBorder="1" applyAlignment="1" applyProtection="1">
      <alignment horizontal="right"/>
      <protection/>
    </xf>
    <xf numFmtId="38" fontId="3" fillId="0" borderId="0" xfId="61" applyNumberFormat="1" applyFont="1" applyFill="1" applyBorder="1" applyAlignment="1" applyProtection="1">
      <alignment horizontal="right" vertical="distributed"/>
      <protection/>
    </xf>
    <xf numFmtId="37" fontId="3" fillId="0" borderId="0" xfId="61" applyNumberFormat="1" applyFont="1" applyFill="1" applyBorder="1" applyAlignment="1" applyProtection="1" quotePrefix="1">
      <alignment horizontal="right"/>
      <protection/>
    </xf>
    <xf numFmtId="38" fontId="3" fillId="0" borderId="136" xfId="61" applyNumberFormat="1" applyFont="1" applyFill="1" applyBorder="1" applyAlignment="1" applyProtection="1">
      <alignment horizontal="right"/>
      <protection/>
    </xf>
    <xf numFmtId="38" fontId="3" fillId="0" borderId="137" xfId="61" applyNumberFormat="1" applyFont="1" applyFill="1" applyBorder="1" applyAlignment="1" applyProtection="1">
      <alignment horizontal="right"/>
      <protection/>
    </xf>
    <xf numFmtId="38" fontId="3" fillId="0" borderId="138" xfId="61" applyNumberFormat="1" applyFont="1" applyFill="1" applyBorder="1" applyAlignment="1" applyProtection="1">
      <alignment horizontal="right"/>
      <protection/>
    </xf>
    <xf numFmtId="37" fontId="3" fillId="0" borderId="136" xfId="61" applyNumberFormat="1" applyFont="1" applyFill="1" applyBorder="1" applyAlignment="1" applyProtection="1">
      <alignment horizontal="right"/>
      <protection/>
    </xf>
    <xf numFmtId="38" fontId="3" fillId="0" borderId="136" xfId="61" applyNumberFormat="1" applyFont="1" applyFill="1" applyBorder="1" applyAlignment="1" applyProtection="1">
      <alignment horizontal="right" vertical="distributed"/>
      <protection/>
    </xf>
    <xf numFmtId="37" fontId="3" fillId="0" borderId="138" xfId="61" applyNumberFormat="1" applyFont="1" applyFill="1" applyBorder="1" applyAlignment="1" applyProtection="1">
      <alignment horizontal="right"/>
      <protection/>
    </xf>
    <xf numFmtId="37" fontId="7" fillId="0" borderId="139" xfId="61" applyNumberFormat="1" applyFont="1" applyFill="1" applyBorder="1" applyAlignment="1" applyProtection="1">
      <alignment horizontal="right"/>
      <protection/>
    </xf>
    <xf numFmtId="37" fontId="3" fillId="0" borderId="137" xfId="61" applyNumberFormat="1" applyFont="1" applyFill="1" applyBorder="1" applyAlignment="1" applyProtection="1">
      <alignment horizontal="right"/>
      <protection/>
    </xf>
    <xf numFmtId="37" fontId="3" fillId="0" borderId="136" xfId="61" applyNumberFormat="1" applyFont="1" applyFill="1" applyBorder="1" applyAlignment="1" applyProtection="1" quotePrefix="1">
      <alignment horizontal="right"/>
      <protection/>
    </xf>
    <xf numFmtId="37" fontId="85" fillId="0" borderId="136" xfId="61" applyNumberFormat="1" applyFont="1" applyFill="1" applyBorder="1" applyAlignment="1" applyProtection="1">
      <alignment horizontal="right"/>
      <protection/>
    </xf>
    <xf numFmtId="38" fontId="3" fillId="0" borderId="140" xfId="61" applyNumberFormat="1" applyFont="1" applyFill="1" applyBorder="1" applyAlignment="1" applyProtection="1">
      <alignment horizontal="right"/>
      <protection/>
    </xf>
    <xf numFmtId="166" fontId="3" fillId="0" borderId="141" xfId="61" applyNumberFormat="1" applyFont="1" applyFill="1" applyBorder="1" applyAlignment="1" applyProtection="1">
      <alignment horizontal="left"/>
      <protection/>
    </xf>
    <xf numFmtId="0" fontId="3" fillId="0" borderId="0" xfId="59" applyFont="1" applyFill="1" applyAlignment="1" applyProtection="1">
      <alignment horizontal="right"/>
      <protection locked="0"/>
    </xf>
    <xf numFmtId="0" fontId="3" fillId="0" borderId="0" xfId="59" applyFont="1" applyFill="1" applyProtection="1">
      <alignment/>
      <protection locked="0"/>
    </xf>
    <xf numFmtId="165" fontId="3" fillId="0" borderId="0" xfId="59" applyNumberFormat="1" applyFont="1" applyFill="1" applyAlignment="1" applyProtection="1">
      <alignment horizontal="center"/>
      <protection/>
    </xf>
    <xf numFmtId="37" fontId="3" fillId="0" borderId="0" xfId="59" applyNumberFormat="1" applyFont="1" applyFill="1" applyAlignment="1" applyProtection="1">
      <alignment horizontal="right"/>
      <protection locked="0"/>
    </xf>
    <xf numFmtId="165" fontId="3" fillId="0" borderId="85" xfId="59" applyNumberFormat="1" applyFont="1" applyFill="1" applyBorder="1" applyAlignment="1" applyProtection="1">
      <alignment horizontal="center"/>
      <protection/>
    </xf>
    <xf numFmtId="37" fontId="3" fillId="0" borderId="68" xfId="59" applyNumberFormat="1" applyFont="1" applyFill="1" applyBorder="1" applyAlignment="1" applyProtection="1">
      <alignment horizontal="center"/>
      <protection locked="0"/>
    </xf>
    <xf numFmtId="38" fontId="3" fillId="0" borderId="67" xfId="59" applyNumberFormat="1" applyFont="1" applyFill="1" applyBorder="1" applyAlignment="1" applyProtection="1">
      <alignment horizontal="right"/>
      <protection/>
    </xf>
    <xf numFmtId="37" fontId="3" fillId="0" borderId="69" xfId="59" applyNumberFormat="1" applyFont="1" applyFill="1" applyBorder="1" applyAlignment="1" applyProtection="1">
      <alignment horizontal="right"/>
      <protection/>
    </xf>
    <xf numFmtId="164" fontId="4" fillId="0" borderId="69" xfId="61" applyNumberFormat="1" applyFont="1" applyFill="1" applyBorder="1" applyAlignment="1" applyProtection="1">
      <alignment horizontal="left"/>
      <protection locked="0"/>
    </xf>
    <xf numFmtId="3" fontId="11" fillId="0" borderId="88" xfId="61" applyNumberFormat="1" applyFont="1" applyFill="1" applyBorder="1" applyAlignment="1" applyProtection="1">
      <alignment horizontal="center"/>
      <protection/>
    </xf>
    <xf numFmtId="37" fontId="11" fillId="0" borderId="30" xfId="61" applyNumberFormat="1" applyFont="1" applyFill="1" applyBorder="1" applyAlignment="1" applyProtection="1">
      <alignment horizontal="center"/>
      <protection locked="0"/>
    </xf>
    <xf numFmtId="38" fontId="11" fillId="0" borderId="41" xfId="61" applyNumberFormat="1" applyFont="1" applyFill="1" applyBorder="1" applyAlignment="1" applyProtection="1">
      <alignment horizontal="center"/>
      <protection/>
    </xf>
    <xf numFmtId="37" fontId="11" fillId="0" borderId="65" xfId="61" applyNumberFormat="1" applyFont="1" applyFill="1" applyBorder="1" applyAlignment="1" applyProtection="1">
      <alignment horizontal="center"/>
      <protection/>
    </xf>
    <xf numFmtId="164" fontId="4" fillId="0" borderId="65" xfId="61" applyNumberFormat="1" applyFont="1" applyFill="1" applyBorder="1" applyAlignment="1" applyProtection="1">
      <alignment horizontal="left"/>
      <protection locked="0"/>
    </xf>
    <xf numFmtId="38" fontId="11" fillId="0" borderId="88" xfId="61" applyNumberFormat="1" applyFont="1" applyFill="1" applyBorder="1" applyAlignment="1" applyProtection="1">
      <alignment horizontal="center"/>
      <protection/>
    </xf>
    <xf numFmtId="38" fontId="11" fillId="0" borderId="10" xfId="61" applyNumberFormat="1" applyFont="1" applyFill="1" applyBorder="1" applyAlignment="1" applyProtection="1">
      <alignment horizontal="center"/>
      <protection/>
    </xf>
    <xf numFmtId="166" fontId="4" fillId="0" borderId="142" xfId="61" applyNumberFormat="1" applyFont="1" applyFill="1" applyBorder="1" applyAlignment="1" applyProtection="1">
      <alignment horizontal="left"/>
      <protection locked="0"/>
    </xf>
    <xf numFmtId="38" fontId="4" fillId="0" borderId="143" xfId="40" applyNumberFormat="1" applyFont="1" applyFill="1" applyBorder="1" applyAlignment="1" applyProtection="1">
      <alignment horizontal="right"/>
      <protection/>
    </xf>
    <xf numFmtId="38" fontId="86" fillId="0" borderId="99" xfId="40" applyNumberFormat="1" applyFont="1" applyFill="1" applyBorder="1" applyAlignment="1" applyProtection="1">
      <alignment horizontal="right"/>
      <protection/>
    </xf>
    <xf numFmtId="37" fontId="3" fillId="0" borderId="144" xfId="61" applyNumberFormat="1" applyFont="1" applyFill="1" applyBorder="1" applyAlignment="1" applyProtection="1">
      <alignment horizontal="right"/>
      <protection locked="0"/>
    </xf>
    <xf numFmtId="3" fontId="3" fillId="0" borderId="32" xfId="61" applyNumberFormat="1" applyFont="1" applyFill="1" applyBorder="1" applyAlignment="1" applyProtection="1">
      <alignment horizontal="right"/>
      <protection/>
    </xf>
    <xf numFmtId="37" fontId="3" fillId="0" borderId="145" xfId="61" applyNumberFormat="1" applyFont="1" applyFill="1" applyBorder="1" applyAlignment="1" applyProtection="1">
      <alignment horizontal="right"/>
      <protection locked="0"/>
    </xf>
    <xf numFmtId="166" fontId="3" fillId="0" borderId="16" xfId="61" applyNumberFormat="1" applyFont="1" applyFill="1" applyBorder="1" applyAlignment="1" applyProtection="1">
      <alignment horizontal="right"/>
      <protection/>
    </xf>
    <xf numFmtId="166" fontId="3" fillId="0" borderId="13" xfId="61" applyNumberFormat="1" applyFont="1" applyFill="1" applyBorder="1" applyAlignment="1" applyProtection="1">
      <alignment horizontal="left"/>
      <protection/>
    </xf>
    <xf numFmtId="3" fontId="3" fillId="0" borderId="13" xfId="61" applyNumberFormat="1" applyFont="1" applyFill="1" applyBorder="1" applyAlignment="1" applyProtection="1">
      <alignment horizontal="right"/>
      <protection/>
    </xf>
    <xf numFmtId="37" fontId="3" fillId="0" borderId="13" xfId="61" applyNumberFormat="1" applyFont="1" applyFill="1" applyBorder="1" applyAlignment="1" applyProtection="1">
      <alignment horizontal="right"/>
      <protection locked="0"/>
    </xf>
    <xf numFmtId="38" fontId="3" fillId="0" borderId="146" xfId="61" applyNumberFormat="1" applyFont="1" applyFill="1" applyBorder="1" applyAlignment="1" applyProtection="1">
      <alignment horizontal="right"/>
      <protection/>
    </xf>
    <xf numFmtId="166" fontId="3" fillId="0" borderId="147" xfId="61" applyNumberFormat="1" applyFont="1" applyFill="1" applyBorder="1" applyAlignment="1" applyProtection="1">
      <alignment horizontal="right"/>
      <protection/>
    </xf>
    <xf numFmtId="166" fontId="4" fillId="0" borderId="148" xfId="61" applyNumberFormat="1" applyFont="1" applyFill="1" applyBorder="1" applyAlignment="1" applyProtection="1">
      <alignment horizontal="center"/>
      <protection/>
    </xf>
    <xf numFmtId="37" fontId="4" fillId="0" borderId="149" xfId="40" applyNumberFormat="1" applyFont="1" applyFill="1" applyBorder="1" applyAlignment="1" applyProtection="1">
      <alignment horizontal="right"/>
      <protection/>
    </xf>
    <xf numFmtId="37" fontId="4" fillId="0" borderId="62" xfId="40" applyNumberFormat="1" applyFont="1" applyFill="1" applyBorder="1" applyAlignment="1" applyProtection="1">
      <alignment horizontal="center"/>
      <protection/>
    </xf>
    <xf numFmtId="37" fontId="4" fillId="0" borderId="150" xfId="40" applyNumberFormat="1" applyFont="1" applyFill="1" applyBorder="1" applyAlignment="1" applyProtection="1">
      <alignment horizontal="right"/>
      <protection/>
    </xf>
    <xf numFmtId="37" fontId="4" fillId="0" borderId="99" xfId="40" applyNumberFormat="1" applyFont="1" applyFill="1" applyBorder="1" applyAlignment="1" applyProtection="1">
      <alignment horizontal="right"/>
      <protection/>
    </xf>
    <xf numFmtId="37" fontId="4" fillId="0" borderId="151" xfId="40" applyNumberFormat="1" applyFont="1" applyFill="1" applyBorder="1" applyAlignment="1" applyProtection="1">
      <alignment horizontal="right"/>
      <protection/>
    </xf>
    <xf numFmtId="37" fontId="4" fillId="0" borderId="152" xfId="40" applyNumberFormat="1" applyFont="1" applyFill="1" applyBorder="1" applyAlignment="1" applyProtection="1">
      <alignment horizontal="right"/>
      <protection/>
    </xf>
    <xf numFmtId="37" fontId="4" fillId="0" borderId="153" xfId="40" applyNumberFormat="1" applyFont="1" applyFill="1" applyBorder="1" applyAlignment="1" applyProtection="1">
      <alignment horizontal="right"/>
      <protection/>
    </xf>
    <xf numFmtId="37" fontId="4" fillId="0" borderId="154" xfId="40" applyNumberFormat="1" applyFont="1" applyFill="1" applyBorder="1" applyAlignment="1" applyProtection="1">
      <alignment horizontal="right"/>
      <protection/>
    </xf>
    <xf numFmtId="166" fontId="3" fillId="0" borderId="155" xfId="61" applyNumberFormat="1" applyFont="1" applyFill="1" applyBorder="1" applyAlignment="1" applyProtection="1">
      <alignment horizontal="right"/>
      <protection/>
    </xf>
    <xf numFmtId="0" fontId="3" fillId="0" borderId="156" xfId="61" applyFont="1" applyFill="1" applyBorder="1" applyAlignment="1" applyProtection="1">
      <alignment horizontal="right"/>
      <protection/>
    </xf>
    <xf numFmtId="37" fontId="3" fillId="0" borderId="157" xfId="61" applyNumberFormat="1" applyFont="1" applyFill="1" applyBorder="1" applyAlignment="1" applyProtection="1">
      <alignment horizontal="right"/>
      <protection/>
    </xf>
    <xf numFmtId="37" fontId="3" fillId="0" borderId="58" xfId="61" applyNumberFormat="1" applyFont="1" applyFill="1" applyBorder="1" applyAlignment="1" applyProtection="1">
      <alignment horizontal="center"/>
      <protection/>
    </xf>
    <xf numFmtId="37" fontId="3" fillId="0" borderId="158" xfId="61" applyNumberFormat="1" applyFont="1" applyFill="1" applyBorder="1" applyAlignment="1" applyProtection="1">
      <alignment horizontal="right"/>
      <protection/>
    </xf>
    <xf numFmtId="37" fontId="3" fillId="0" borderId="15" xfId="61" applyNumberFormat="1" applyFont="1" applyFill="1" applyBorder="1" applyAlignment="1" applyProtection="1">
      <alignment horizontal="right"/>
      <protection locked="0"/>
    </xf>
    <xf numFmtId="37" fontId="3" fillId="0" borderId="110" xfId="61" applyNumberFormat="1" applyFont="1" applyFill="1" applyBorder="1" applyAlignment="1" applyProtection="1">
      <alignment horizontal="right"/>
      <protection locked="0"/>
    </xf>
    <xf numFmtId="37" fontId="3" fillId="0" borderId="159" xfId="61" applyNumberFormat="1" applyFont="1" applyFill="1" applyBorder="1" applyAlignment="1" applyProtection="1">
      <alignment horizontal="right"/>
      <protection/>
    </xf>
    <xf numFmtId="166" fontId="3" fillId="0" borderId="156" xfId="61" applyNumberFormat="1" applyFont="1" applyFill="1" applyBorder="1" applyAlignment="1" applyProtection="1">
      <alignment horizontal="right"/>
      <protection/>
    </xf>
    <xf numFmtId="3" fontId="4" fillId="0" borderId="160" xfId="61" applyNumberFormat="1" applyFont="1" applyFill="1" applyBorder="1" applyAlignment="1" applyProtection="1">
      <alignment horizontal="left"/>
      <protection locked="0"/>
    </xf>
    <xf numFmtId="166" fontId="4" fillId="0" borderId="155" xfId="61" applyNumberFormat="1" applyFont="1" applyFill="1" applyBorder="1" applyAlignment="1" applyProtection="1">
      <alignment horizontal="right"/>
      <protection/>
    </xf>
    <xf numFmtId="37" fontId="4" fillId="0" borderId="157" xfId="61" applyNumberFormat="1" applyFont="1" applyFill="1" applyBorder="1" applyAlignment="1" applyProtection="1">
      <alignment horizontal="right"/>
      <protection/>
    </xf>
    <xf numFmtId="37" fontId="4" fillId="0" borderId="58" xfId="61" applyNumberFormat="1" applyFont="1" applyFill="1" applyBorder="1" applyAlignment="1" applyProtection="1">
      <alignment horizontal="center"/>
      <protection/>
    </xf>
    <xf numFmtId="37" fontId="4" fillId="0" borderId="15" xfId="61" applyNumberFormat="1" applyFont="1" applyFill="1" applyBorder="1" applyAlignment="1" applyProtection="1">
      <alignment horizontal="right"/>
      <protection/>
    </xf>
    <xf numFmtId="37" fontId="4" fillId="0" borderId="158" xfId="61" applyNumberFormat="1" applyFont="1" applyFill="1" applyBorder="1" applyAlignment="1" applyProtection="1">
      <alignment horizontal="right"/>
      <protection/>
    </xf>
    <xf numFmtId="37" fontId="4" fillId="0" borderId="15" xfId="61" applyNumberFormat="1" applyFont="1" applyFill="1" applyBorder="1" applyAlignment="1" applyProtection="1">
      <alignment horizontal="right"/>
      <protection locked="0"/>
    </xf>
    <xf numFmtId="37" fontId="4" fillId="0" borderId="110" xfId="61" applyNumberFormat="1" applyFont="1" applyFill="1" applyBorder="1" applyAlignment="1" applyProtection="1">
      <alignment horizontal="right"/>
      <protection locked="0"/>
    </xf>
    <xf numFmtId="166" fontId="3" fillId="0" borderId="161" xfId="61" applyNumberFormat="1" applyFont="1" applyFill="1" applyBorder="1" applyAlignment="1" applyProtection="1">
      <alignment horizontal="right"/>
      <protection/>
    </xf>
    <xf numFmtId="37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80" xfId="61" applyNumberFormat="1" applyFont="1" applyFill="1" applyBorder="1" applyAlignment="1" applyProtection="1">
      <alignment horizontal="right"/>
      <protection locked="0"/>
    </xf>
    <xf numFmtId="37" fontId="3" fillId="0" borderId="162" xfId="61" applyNumberFormat="1" applyFont="1" applyFill="1" applyBorder="1" applyAlignment="1" applyProtection="1">
      <alignment horizontal="right"/>
      <protection locked="0"/>
    </xf>
    <xf numFmtId="37" fontId="3" fillId="0" borderId="42" xfId="61" applyNumberFormat="1" applyFont="1" applyFill="1" applyBorder="1" applyAlignment="1" applyProtection="1">
      <alignment horizontal="right"/>
      <protection locked="0"/>
    </xf>
    <xf numFmtId="3" fontId="7" fillId="0" borderId="17" xfId="61" applyNumberFormat="1" applyFont="1" applyFill="1" applyBorder="1" applyAlignment="1" applyProtection="1">
      <alignment horizontal="right"/>
      <protection/>
    </xf>
    <xf numFmtId="37" fontId="7" fillId="0" borderId="162" xfId="61" applyNumberFormat="1" applyFont="1" applyFill="1" applyBorder="1" applyAlignment="1" applyProtection="1">
      <alignment horizontal="right"/>
      <protection locked="0"/>
    </xf>
    <xf numFmtId="0" fontId="3" fillId="0" borderId="16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3" fillId="0" borderId="45" xfId="61" applyFont="1" applyFill="1" applyBorder="1" applyAlignment="1" applyProtection="1">
      <alignment horizontal="left"/>
      <protection/>
    </xf>
    <xf numFmtId="166" fontId="7" fillId="0" borderId="163" xfId="61" applyNumberFormat="1" applyFont="1" applyFill="1" applyBorder="1" applyAlignment="1" applyProtection="1">
      <alignment horizontal="right"/>
      <protection/>
    </xf>
    <xf numFmtId="0" fontId="7" fillId="0" borderId="141" xfId="61" applyFont="1" applyFill="1" applyBorder="1" applyAlignment="1" applyProtection="1">
      <alignment horizontal="left"/>
      <protection/>
    </xf>
    <xf numFmtId="38" fontId="7" fillId="0" borderId="164" xfId="61" applyNumberFormat="1" applyFont="1" applyFill="1" applyBorder="1" applyAlignment="1" applyProtection="1">
      <alignment horizontal="right"/>
      <protection/>
    </xf>
    <xf numFmtId="38" fontId="7" fillId="0" borderId="165" xfId="61" applyNumberFormat="1" applyFont="1" applyFill="1" applyBorder="1" applyAlignment="1" applyProtection="1">
      <alignment horizontal="right"/>
      <protection/>
    </xf>
    <xf numFmtId="38" fontId="7" fillId="0" borderId="166" xfId="61" applyNumberFormat="1" applyFont="1" applyFill="1" applyBorder="1" applyAlignment="1" applyProtection="1">
      <alignment horizontal="right"/>
      <protection/>
    </xf>
    <xf numFmtId="38" fontId="7" fillId="0" borderId="119" xfId="61" applyNumberFormat="1" applyFont="1" applyFill="1" applyBorder="1" applyAlignment="1" applyProtection="1">
      <alignment horizontal="right"/>
      <protection/>
    </xf>
    <xf numFmtId="38" fontId="7" fillId="0" borderId="0" xfId="61" applyNumberFormat="1" applyFont="1" applyFill="1" applyBorder="1" applyAlignment="1" applyProtection="1">
      <alignment horizontal="right"/>
      <protection/>
    </xf>
    <xf numFmtId="3" fontId="7" fillId="0" borderId="164" xfId="61" applyNumberFormat="1" applyFont="1" applyFill="1" applyBorder="1" applyAlignment="1" applyProtection="1">
      <alignment horizontal="right"/>
      <protection/>
    </xf>
    <xf numFmtId="37" fontId="7" fillId="0" borderId="30" xfId="61" applyNumberFormat="1" applyFont="1" applyFill="1" applyBorder="1" applyAlignment="1" applyProtection="1">
      <alignment horizontal="right"/>
      <protection locked="0"/>
    </xf>
    <xf numFmtId="164" fontId="7" fillId="0" borderId="167" xfId="61" applyNumberFormat="1" applyFont="1" applyFill="1" applyBorder="1" applyAlignment="1" applyProtection="1">
      <alignment horizontal="left"/>
      <protection locked="0"/>
    </xf>
    <xf numFmtId="3" fontId="3" fillId="0" borderId="25" xfId="61" applyNumberFormat="1" applyFont="1" applyFill="1" applyBorder="1" applyAlignment="1" applyProtection="1">
      <alignment horizontal="right"/>
      <protection/>
    </xf>
    <xf numFmtId="166" fontId="7" fillId="0" borderId="168" xfId="61" applyNumberFormat="1" applyFont="1" applyFill="1" applyBorder="1" applyAlignment="1" applyProtection="1">
      <alignment horizontal="right"/>
      <protection/>
    </xf>
    <xf numFmtId="166" fontId="7" fillId="0" borderId="78" xfId="61" applyNumberFormat="1" applyFont="1" applyFill="1" applyBorder="1" applyAlignment="1" applyProtection="1">
      <alignment horizontal="left"/>
      <protection/>
    </xf>
    <xf numFmtId="38" fontId="7" fillId="0" borderId="16" xfId="61" applyNumberFormat="1" applyFont="1" applyFill="1" applyBorder="1" applyAlignment="1" applyProtection="1">
      <alignment horizontal="right"/>
      <protection/>
    </xf>
    <xf numFmtId="38" fontId="7" fillId="0" borderId="111" xfId="61" applyNumberFormat="1" applyFont="1" applyFill="1" applyBorder="1" applyAlignment="1" applyProtection="1">
      <alignment horizontal="right"/>
      <protection/>
    </xf>
    <xf numFmtId="38" fontId="7" fillId="0" borderId="169" xfId="61" applyNumberFormat="1" applyFont="1" applyFill="1" applyBorder="1" applyAlignment="1" applyProtection="1">
      <alignment horizontal="right"/>
      <protection/>
    </xf>
    <xf numFmtId="3" fontId="7" fillId="0" borderId="16" xfId="61" applyNumberFormat="1" applyFont="1" applyFill="1" applyBorder="1" applyAlignment="1" applyProtection="1">
      <alignment horizontal="right"/>
      <protection/>
    </xf>
    <xf numFmtId="164" fontId="6" fillId="0" borderId="41" xfId="61" applyNumberFormat="1" applyFont="1" applyFill="1" applyBorder="1" applyAlignment="1" applyProtection="1">
      <alignment horizontal="left"/>
      <protection locked="0"/>
    </xf>
    <xf numFmtId="0" fontId="7" fillId="0" borderId="45" xfId="61" applyFont="1" applyFill="1" applyBorder="1" applyAlignment="1" applyProtection="1">
      <alignment horizontal="left"/>
      <protection/>
    </xf>
    <xf numFmtId="38" fontId="7" fillId="0" borderId="110" xfId="61" applyNumberFormat="1" applyFont="1" applyFill="1" applyBorder="1" applyAlignment="1" applyProtection="1">
      <alignment horizontal="right"/>
      <protection/>
    </xf>
    <xf numFmtId="37" fontId="7" fillId="0" borderId="144" xfId="61" applyNumberFormat="1" applyFont="1" applyFill="1" applyBorder="1" applyAlignment="1" applyProtection="1">
      <alignment horizontal="right"/>
      <protection locked="0"/>
    </xf>
    <xf numFmtId="164" fontId="6" fillId="0" borderId="14" xfId="61" applyNumberFormat="1" applyFont="1" applyFill="1" applyBorder="1" applyAlignment="1" applyProtection="1">
      <alignment horizontal="left"/>
      <protection locked="0"/>
    </xf>
    <xf numFmtId="38" fontId="3" fillId="0" borderId="170" xfId="61" applyNumberFormat="1" applyFont="1" applyFill="1" applyBorder="1" applyAlignment="1" applyProtection="1">
      <alignment horizontal="right"/>
      <protection/>
    </xf>
    <xf numFmtId="3" fontId="3" fillId="0" borderId="12" xfId="45" applyNumberFormat="1" applyFont="1" applyFill="1" applyBorder="1" applyAlignment="1" applyProtection="1">
      <alignment horizontal="right"/>
      <protection/>
    </xf>
    <xf numFmtId="37" fontId="3" fillId="0" borderId="11" xfId="45" applyNumberFormat="1" applyFont="1" applyFill="1" applyBorder="1" applyAlignment="1" applyProtection="1">
      <alignment horizontal="right"/>
      <protection locked="0"/>
    </xf>
    <xf numFmtId="37" fontId="3" fillId="0" borderId="152" xfId="61" applyNumberFormat="1" applyFont="1" applyFill="1" applyBorder="1" applyAlignment="1" applyProtection="1">
      <alignment horizontal="right"/>
      <protection/>
    </xf>
    <xf numFmtId="37" fontId="3" fillId="0" borderId="46" xfId="61" applyNumberFormat="1" applyFont="1" applyFill="1" applyBorder="1" applyAlignment="1" applyProtection="1">
      <alignment horizontal="right"/>
      <protection/>
    </xf>
    <xf numFmtId="166" fontId="4" fillId="0" borderId="147" xfId="61" applyNumberFormat="1" applyFont="1" applyFill="1" applyBorder="1" applyAlignment="1" applyProtection="1">
      <alignment horizontal="right"/>
      <protection/>
    </xf>
    <xf numFmtId="166" fontId="4" fillId="0" borderId="148" xfId="61" applyNumberFormat="1" applyFont="1" applyFill="1" applyBorder="1" applyAlignment="1" applyProtection="1">
      <alignment horizontal="left"/>
      <protection/>
    </xf>
    <xf numFmtId="38" fontId="4" fillId="0" borderId="99" xfId="40" applyNumberFormat="1" applyFont="1" applyFill="1" applyBorder="1" applyAlignment="1" applyProtection="1">
      <alignment horizontal="right"/>
      <protection/>
    </xf>
    <xf numFmtId="38" fontId="4" fillId="0" borderId="171" xfId="40" applyNumberFormat="1" applyFont="1" applyFill="1" applyBorder="1" applyAlignment="1" applyProtection="1">
      <alignment horizontal="right"/>
      <protection/>
    </xf>
    <xf numFmtId="166" fontId="3" fillId="0" borderId="168" xfId="61" applyNumberFormat="1" applyFont="1" applyFill="1" applyBorder="1" applyAlignment="1" applyProtection="1">
      <alignment horizontal="right"/>
      <protection/>
    </xf>
    <xf numFmtId="166" fontId="3" fillId="0" borderId="27" xfId="61" applyNumberFormat="1" applyFont="1" applyFill="1" applyBorder="1" applyAlignment="1" applyProtection="1">
      <alignment horizontal="left"/>
      <protection/>
    </xf>
    <xf numFmtId="37" fontId="4" fillId="0" borderId="112" xfId="61" applyNumberFormat="1" applyFont="1" applyFill="1" applyBorder="1" applyAlignment="1" applyProtection="1">
      <alignment horizontal="right"/>
      <protection locked="0"/>
    </xf>
    <xf numFmtId="166" fontId="3" fillId="0" borderId="172" xfId="61" applyNumberFormat="1" applyFont="1" applyFill="1" applyBorder="1" applyAlignment="1" applyProtection="1">
      <alignment horizontal="left"/>
      <protection/>
    </xf>
    <xf numFmtId="37" fontId="4" fillId="0" borderId="173" xfId="61" applyNumberFormat="1" applyFont="1" applyFill="1" applyBorder="1" applyAlignment="1" applyProtection="1">
      <alignment horizontal="right"/>
      <protection locked="0"/>
    </xf>
    <xf numFmtId="38" fontId="4" fillId="0" borderId="174" xfId="40" applyNumberFormat="1" applyFont="1" applyFill="1" applyBorder="1" applyAlignment="1" applyProtection="1">
      <alignment horizontal="right"/>
      <protection/>
    </xf>
    <xf numFmtId="37" fontId="3" fillId="0" borderId="30" xfId="61" applyNumberFormat="1" applyFont="1" applyFill="1" applyBorder="1" applyAlignment="1" applyProtection="1">
      <alignment horizontal="right"/>
      <protection locked="0"/>
    </xf>
    <xf numFmtId="3" fontId="3" fillId="0" borderId="16" xfId="61" applyNumberFormat="1" applyFont="1" applyFill="1" applyBorder="1" applyAlignment="1" applyProtection="1">
      <alignment horizontal="right"/>
      <protection/>
    </xf>
    <xf numFmtId="0" fontId="3" fillId="0" borderId="57" xfId="59" applyFont="1" applyFill="1" applyBorder="1">
      <alignment/>
      <protection/>
    </xf>
    <xf numFmtId="0" fontId="3" fillId="0" borderId="136" xfId="59" applyFont="1" applyFill="1" applyBorder="1" applyProtection="1">
      <alignment/>
      <protection locked="0"/>
    </xf>
    <xf numFmtId="0" fontId="3" fillId="0" borderId="45" xfId="61" applyFont="1" applyFill="1" applyBorder="1" applyAlignment="1" applyProtection="1">
      <alignment/>
      <protection/>
    </xf>
    <xf numFmtId="166" fontId="7" fillId="0" borderId="45" xfId="61" applyNumberFormat="1" applyFont="1" applyFill="1" applyBorder="1" applyAlignment="1" applyProtection="1">
      <alignment/>
      <protection/>
    </xf>
    <xf numFmtId="38" fontId="7" fillId="0" borderId="175" xfId="61" applyNumberFormat="1" applyFont="1" applyFill="1" applyBorder="1" applyAlignment="1" applyProtection="1">
      <alignment horizontal="right"/>
      <protection/>
    </xf>
    <xf numFmtId="38" fontId="7" fillId="0" borderId="139" xfId="61" applyNumberFormat="1" applyFont="1" applyFill="1" applyBorder="1" applyAlignment="1" applyProtection="1">
      <alignment horizontal="right"/>
      <protection/>
    </xf>
    <xf numFmtId="37" fontId="7" fillId="0" borderId="112" xfId="61" applyNumberFormat="1" applyFont="1" applyFill="1" applyBorder="1" applyAlignment="1" applyProtection="1">
      <alignment horizontal="right"/>
      <protection locked="0"/>
    </xf>
    <xf numFmtId="37" fontId="7" fillId="0" borderId="29" xfId="61" applyNumberFormat="1" applyFont="1" applyFill="1" applyBorder="1" applyAlignment="1" applyProtection="1">
      <alignment horizontal="right"/>
      <protection locked="0"/>
    </xf>
    <xf numFmtId="38" fontId="7" fillId="0" borderId="176" xfId="61" applyNumberFormat="1" applyFont="1" applyFill="1" applyBorder="1" applyAlignment="1" applyProtection="1">
      <alignment horizontal="right"/>
      <protection/>
    </xf>
    <xf numFmtId="38" fontId="7" fillId="0" borderId="117" xfId="61" applyNumberFormat="1" applyFont="1" applyFill="1" applyBorder="1" applyAlignment="1" applyProtection="1">
      <alignment horizontal="right"/>
      <protection/>
    </xf>
    <xf numFmtId="38" fontId="7" fillId="0" borderId="42" xfId="61" applyNumberFormat="1" applyFont="1" applyFill="1" applyBorder="1" applyAlignment="1" applyProtection="1">
      <alignment horizontal="right"/>
      <protection/>
    </xf>
    <xf numFmtId="166" fontId="3" fillId="0" borderId="45" xfId="61" applyNumberFormat="1" applyFont="1" applyFill="1" applyBorder="1" applyAlignment="1" applyProtection="1">
      <alignment vertical="distributed"/>
      <protection/>
    </xf>
    <xf numFmtId="3" fontId="3" fillId="0" borderId="17" xfId="61" applyNumberFormat="1" applyFont="1" applyFill="1" applyBorder="1" applyAlignment="1" applyProtection="1">
      <alignment horizontal="right" vertical="distributed"/>
      <protection/>
    </xf>
    <xf numFmtId="37" fontId="3" fillId="0" borderId="112" xfId="61" applyNumberFormat="1" applyFont="1" applyFill="1" applyBorder="1" applyAlignment="1" applyProtection="1">
      <alignment horizontal="right" vertical="distributed"/>
      <protection locked="0"/>
    </xf>
    <xf numFmtId="37" fontId="3" fillId="0" borderId="29" xfId="61" applyNumberFormat="1" applyFont="1" applyFill="1" applyBorder="1" applyAlignment="1" applyProtection="1">
      <alignment horizontal="right" vertical="distributed"/>
      <protection locked="0"/>
    </xf>
    <xf numFmtId="0" fontId="7" fillId="0" borderId="45" xfId="61" applyFont="1" applyFill="1" applyBorder="1" applyProtection="1">
      <alignment/>
      <protection/>
    </xf>
    <xf numFmtId="166" fontId="3" fillId="0" borderId="82" xfId="61" applyNumberFormat="1" applyFont="1" applyFill="1" applyBorder="1" applyAlignment="1" applyProtection="1">
      <alignment horizontal="left"/>
      <protection/>
    </xf>
    <xf numFmtId="3" fontId="3" fillId="0" borderId="12" xfId="61" applyNumberFormat="1" applyFont="1" applyFill="1" applyBorder="1" applyAlignment="1" applyProtection="1">
      <alignment horizontal="right"/>
      <protection/>
    </xf>
    <xf numFmtId="3" fontId="4" fillId="0" borderId="177" xfId="40" applyNumberFormat="1" applyFont="1" applyFill="1" applyBorder="1" applyAlignment="1" applyProtection="1">
      <alignment horizontal="right"/>
      <protection/>
    </xf>
    <xf numFmtId="3" fontId="4" fillId="0" borderId="154" xfId="40" applyNumberFormat="1" applyFont="1" applyFill="1" applyBorder="1" applyAlignment="1" applyProtection="1">
      <alignment horizontal="right"/>
      <protection/>
    </xf>
    <xf numFmtId="166" fontId="3" fillId="0" borderId="64" xfId="61" applyNumberFormat="1" applyFont="1" applyFill="1" applyBorder="1" applyAlignment="1" applyProtection="1">
      <alignment horizontal="left"/>
      <protection/>
    </xf>
    <xf numFmtId="3" fontId="3" fillId="0" borderId="178" xfId="61" applyNumberFormat="1" applyFont="1" applyFill="1" applyBorder="1" applyAlignment="1" applyProtection="1">
      <alignment horizontal="right"/>
      <protection/>
    </xf>
    <xf numFmtId="166" fontId="7" fillId="0" borderId="22" xfId="61" applyNumberFormat="1" applyFont="1" applyFill="1" applyBorder="1" applyAlignment="1" applyProtection="1">
      <alignment horizontal="left"/>
      <protection/>
    </xf>
    <xf numFmtId="37" fontId="7" fillId="0" borderId="17" xfId="61" applyNumberFormat="1" applyFont="1" applyFill="1" applyBorder="1" applyAlignment="1" applyProtection="1">
      <alignment horizontal="right"/>
      <protection/>
    </xf>
    <xf numFmtId="37" fontId="7" fillId="0" borderId="0" xfId="61" applyNumberFormat="1" applyFont="1" applyFill="1" applyBorder="1" applyAlignment="1" applyProtection="1">
      <alignment horizontal="center"/>
      <protection/>
    </xf>
    <xf numFmtId="166" fontId="3" fillId="0" borderId="19" xfId="61" applyNumberFormat="1" applyFont="1" applyFill="1" applyBorder="1" applyAlignment="1" applyProtection="1">
      <alignment horizontal="left"/>
      <protection/>
    </xf>
    <xf numFmtId="37" fontId="4" fillId="0" borderId="11" xfId="61" applyNumberFormat="1" applyFont="1" applyFill="1" applyBorder="1" applyAlignment="1" applyProtection="1">
      <alignment horizontal="right"/>
      <protection locked="0"/>
    </xf>
    <xf numFmtId="37" fontId="4" fillId="0" borderId="177" xfId="40" applyNumberFormat="1" applyFont="1" applyFill="1" applyBorder="1" applyAlignment="1" applyProtection="1">
      <alignment horizontal="right"/>
      <protection/>
    </xf>
    <xf numFmtId="37" fontId="4" fillId="0" borderId="46" xfId="40" applyNumberFormat="1" applyFont="1" applyFill="1" applyBorder="1" applyAlignment="1" applyProtection="1">
      <alignment horizontal="right"/>
      <protection/>
    </xf>
    <xf numFmtId="37" fontId="4" fillId="0" borderId="171" xfId="40" applyNumberFormat="1" applyFont="1" applyFill="1" applyBorder="1" applyAlignment="1" applyProtection="1">
      <alignment horizontal="right"/>
      <protection/>
    </xf>
    <xf numFmtId="0" fontId="3" fillId="0" borderId="45" xfId="61" applyFont="1" applyFill="1" applyBorder="1" applyProtection="1">
      <alignment/>
      <protection/>
    </xf>
    <xf numFmtId="166" fontId="3" fillId="0" borderId="179" xfId="61" applyNumberFormat="1" applyFont="1" applyFill="1" applyBorder="1" applyAlignment="1" applyProtection="1">
      <alignment horizontal="right"/>
      <protection/>
    </xf>
    <xf numFmtId="37" fontId="3" fillId="0" borderId="139" xfId="61" applyNumberFormat="1" applyFont="1" applyFill="1" applyBorder="1" applyAlignment="1" applyProtection="1">
      <alignment horizontal="right"/>
      <protection/>
    </xf>
    <xf numFmtId="166" fontId="7" fillId="0" borderId="22" xfId="61" applyNumberFormat="1" applyFont="1" applyFill="1" applyBorder="1" applyAlignment="1" applyProtection="1">
      <alignment/>
      <protection/>
    </xf>
    <xf numFmtId="0" fontId="3" fillId="0" borderId="0" xfId="61" applyFont="1" applyFill="1" applyAlignment="1" applyProtection="1">
      <alignment horizontal="right"/>
      <protection locked="0"/>
    </xf>
    <xf numFmtId="0" fontId="3" fillId="0" borderId="0" xfId="61" applyFont="1" applyFill="1" applyProtection="1">
      <alignment/>
      <protection locked="0"/>
    </xf>
    <xf numFmtId="165" fontId="3" fillId="0" borderId="0" xfId="61" applyNumberFormat="1" applyFont="1" applyFill="1" applyAlignment="1" applyProtection="1">
      <alignment horizontal="right"/>
      <protection/>
    </xf>
    <xf numFmtId="37" fontId="3" fillId="0" borderId="0" xfId="61" applyNumberFormat="1" applyFont="1" applyFill="1" applyAlignment="1" applyProtection="1">
      <alignment horizontal="right"/>
      <protection locked="0"/>
    </xf>
    <xf numFmtId="165" fontId="3" fillId="0" borderId="0" xfId="59" applyNumberFormat="1" applyFont="1" applyFill="1" applyAlignment="1" applyProtection="1">
      <alignment horizontal="right"/>
      <protection/>
    </xf>
    <xf numFmtId="0" fontId="3" fillId="0" borderId="0" xfId="59" applyFont="1" applyFill="1" applyAlignment="1" applyProtection="1">
      <alignment horizontal="center"/>
      <protection locked="0"/>
    </xf>
    <xf numFmtId="0" fontId="3" fillId="0" borderId="0" xfId="59" applyFont="1" applyFill="1" applyAlignment="1" applyProtection="1">
      <alignment horizontal="left"/>
      <protection locked="0"/>
    </xf>
    <xf numFmtId="37" fontId="3" fillId="0" borderId="180" xfId="61" applyNumberFormat="1" applyFont="1" applyFill="1" applyBorder="1" applyAlignment="1" applyProtection="1">
      <alignment horizontal="right"/>
      <protection/>
    </xf>
    <xf numFmtId="38" fontId="3" fillId="0" borderId="181" xfId="61" applyNumberFormat="1" applyFont="1" applyFill="1" applyBorder="1" applyAlignment="1" applyProtection="1">
      <alignment horizontal="right"/>
      <protection/>
    </xf>
    <xf numFmtId="0" fontId="83" fillId="0" borderId="182" xfId="0" applyFont="1" applyBorder="1" applyAlignment="1">
      <alignment/>
    </xf>
    <xf numFmtId="0" fontId="83" fillId="0" borderId="182" xfId="0" applyFont="1" applyBorder="1" applyAlignment="1">
      <alignment horizontal="left" wrapText="1"/>
    </xf>
    <xf numFmtId="3" fontId="83" fillId="0" borderId="182" xfId="0" applyNumberFormat="1" applyFont="1" applyBorder="1" applyAlignment="1">
      <alignment horizontal="center"/>
    </xf>
    <xf numFmtId="3" fontId="0" fillId="0" borderId="182" xfId="0" applyNumberFormat="1" applyBorder="1" applyAlignment="1">
      <alignment/>
    </xf>
    <xf numFmtId="0" fontId="0" fillId="0" borderId="182" xfId="0" applyBorder="1" applyAlignment="1">
      <alignment/>
    </xf>
    <xf numFmtId="0" fontId="77" fillId="0" borderId="182" xfId="0" applyFont="1" applyBorder="1" applyAlignment="1">
      <alignment horizontal="left" wrapText="1"/>
    </xf>
    <xf numFmtId="0" fontId="77" fillId="0" borderId="182" xfId="0" applyFont="1" applyBorder="1" applyAlignment="1">
      <alignment/>
    </xf>
    <xf numFmtId="3" fontId="77" fillId="0" borderId="182" xfId="0" applyNumberFormat="1" applyFont="1" applyBorder="1" applyAlignment="1">
      <alignment/>
    </xf>
    <xf numFmtId="3" fontId="77" fillId="0" borderId="182" xfId="0" applyNumberFormat="1" applyFont="1" applyFill="1" applyBorder="1" applyAlignment="1">
      <alignment/>
    </xf>
    <xf numFmtId="0" fontId="84" fillId="0" borderId="182" xfId="0" applyFont="1" applyBorder="1" applyAlignment="1">
      <alignment/>
    </xf>
    <xf numFmtId="0" fontId="48" fillId="0" borderId="182" xfId="0" applyFont="1" applyBorder="1" applyAlignment="1">
      <alignment/>
    </xf>
    <xf numFmtId="0" fontId="48" fillId="0" borderId="182" xfId="0" applyFont="1" applyBorder="1" applyAlignment="1">
      <alignment horizontal="left" wrapText="1"/>
    </xf>
    <xf numFmtId="0" fontId="84" fillId="0" borderId="182" xfId="0" applyFont="1" applyBorder="1" applyAlignment="1">
      <alignment horizontal="left" wrapText="1"/>
    </xf>
    <xf numFmtId="0" fontId="0" fillId="0" borderId="182" xfId="0" applyFont="1" applyBorder="1" applyAlignment="1">
      <alignment/>
    </xf>
    <xf numFmtId="0" fontId="0" fillId="0" borderId="182" xfId="0" applyBorder="1" applyAlignment="1">
      <alignment wrapText="1"/>
    </xf>
    <xf numFmtId="0" fontId="77" fillId="0" borderId="182" xfId="0" applyFont="1" applyBorder="1" applyAlignment="1">
      <alignment horizontal="left"/>
    </xf>
    <xf numFmtId="0" fontId="0" fillId="0" borderId="182" xfId="0" applyBorder="1" applyAlignment="1">
      <alignment horizontal="left"/>
    </xf>
    <xf numFmtId="166" fontId="49" fillId="0" borderId="182" xfId="62" applyFont="1" applyBorder="1">
      <alignment/>
      <protection/>
    </xf>
    <xf numFmtId="166" fontId="48" fillId="0" borderId="182" xfId="62" applyFont="1" applyBorder="1" applyAlignment="1">
      <alignment horizontal="left" wrapText="1"/>
      <protection/>
    </xf>
    <xf numFmtId="3" fontId="49" fillId="0" borderId="182" xfId="62" applyNumberFormat="1" applyFont="1" applyFill="1" applyBorder="1">
      <alignment/>
      <protection/>
    </xf>
    <xf numFmtId="3" fontId="48" fillId="0" borderId="182" xfId="62" applyNumberFormat="1" applyFont="1" applyFill="1" applyBorder="1" applyAlignment="1">
      <alignment horizontal="left" wrapText="1"/>
      <protection/>
    </xf>
    <xf numFmtId="3" fontId="83" fillId="0" borderId="182" xfId="62" applyNumberFormat="1" applyFont="1" applyFill="1" applyBorder="1">
      <alignment/>
      <protection/>
    </xf>
    <xf numFmtId="3" fontId="83" fillId="0" borderId="182" xfId="62" applyNumberFormat="1" applyFont="1" applyFill="1" applyBorder="1" applyAlignment="1">
      <alignment horizontal="left" wrapText="1"/>
      <protection/>
    </xf>
    <xf numFmtId="166" fontId="48" fillId="0" borderId="182" xfId="62" applyFont="1" applyFill="1" applyBorder="1" applyAlignment="1">
      <alignment horizontal="left" wrapText="1"/>
      <protection/>
    </xf>
    <xf numFmtId="3" fontId="49" fillId="0" borderId="182" xfId="62" applyNumberFormat="1" applyFont="1" applyFill="1" applyBorder="1" applyAlignment="1">
      <alignment horizontal="right"/>
      <protection/>
    </xf>
    <xf numFmtId="0" fontId="48" fillId="0" borderId="182" xfId="59" applyFont="1" applyBorder="1" applyAlignment="1">
      <alignment horizontal="left" wrapText="1"/>
      <protection/>
    </xf>
    <xf numFmtId="3" fontId="49" fillId="0" borderId="182" xfId="59" applyNumberFormat="1" applyFont="1" applyBorder="1" applyAlignment="1">
      <alignment horizontal="right"/>
      <protection/>
    </xf>
    <xf numFmtId="0" fontId="49" fillId="0" borderId="182" xfId="0" applyFont="1" applyBorder="1" applyAlignment="1">
      <alignment/>
    </xf>
    <xf numFmtId="0" fontId="78" fillId="0" borderId="0" xfId="0" applyFont="1" applyAlignment="1">
      <alignment/>
    </xf>
    <xf numFmtId="3" fontId="21" fillId="0" borderId="160" xfId="61" applyNumberFormat="1" applyFont="1" applyFill="1" applyBorder="1" applyAlignment="1" applyProtection="1">
      <alignment horizontal="left"/>
      <protection locked="0"/>
    </xf>
    <xf numFmtId="38" fontId="21" fillId="0" borderId="160" xfId="61" applyNumberFormat="1" applyFont="1" applyFill="1" applyBorder="1" applyAlignment="1" applyProtection="1">
      <alignment horizontal="left"/>
      <protection locked="0"/>
    </xf>
    <xf numFmtId="37" fontId="3" fillId="0" borderId="0" xfId="61" applyNumberFormat="1" applyFont="1" applyFill="1" applyBorder="1" applyAlignment="1" applyProtection="1">
      <alignment horizontal="left"/>
      <protection/>
    </xf>
    <xf numFmtId="165" fontId="3" fillId="0" borderId="0" xfId="61" applyNumberFormat="1" applyFont="1" applyFill="1" applyBorder="1" applyAlignment="1" applyProtection="1">
      <alignment horizontal="right"/>
      <protection/>
    </xf>
    <xf numFmtId="37" fontId="3" fillId="0" borderId="0" xfId="61" applyNumberFormat="1" applyFont="1" applyFill="1" applyBorder="1" applyAlignment="1" applyProtection="1">
      <alignment horizontal="right"/>
      <protection locked="0"/>
    </xf>
    <xf numFmtId="37" fontId="3" fillId="0" borderId="0" xfId="61" applyNumberFormat="1" applyFont="1" applyFill="1" applyAlignment="1" applyProtection="1">
      <alignment horizontal="left"/>
      <protection/>
    </xf>
    <xf numFmtId="4" fontId="3" fillId="0" borderId="0" xfId="61" applyNumberFormat="1" applyFont="1" applyFill="1" applyBorder="1" applyProtection="1">
      <alignment/>
      <protection locked="0"/>
    </xf>
    <xf numFmtId="0" fontId="0" fillId="0" borderId="0" xfId="0" applyAlignment="1">
      <alignment horizontal="right"/>
    </xf>
    <xf numFmtId="37" fontId="4" fillId="0" borderId="99" xfId="61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/>
    </xf>
    <xf numFmtId="0" fontId="87" fillId="0" borderId="182" xfId="0" applyFont="1" applyBorder="1" applyAlignment="1">
      <alignment/>
    </xf>
    <xf numFmtId="3" fontId="48" fillId="0" borderId="182" xfId="0" applyNumberFormat="1" applyFont="1" applyBorder="1" applyAlignment="1">
      <alignment/>
    </xf>
    <xf numFmtId="3" fontId="49" fillId="0" borderId="182" xfId="0" applyNumberFormat="1" applyFont="1" applyBorder="1" applyAlignment="1">
      <alignment/>
    </xf>
    <xf numFmtId="0" fontId="0" fillId="0" borderId="182" xfId="0" applyFill="1" applyBorder="1" applyAlignment="1">
      <alignment/>
    </xf>
    <xf numFmtId="38" fontId="3" fillId="0" borderId="160" xfId="61" applyNumberFormat="1" applyFont="1" applyFill="1" applyBorder="1" applyAlignment="1" applyProtection="1">
      <alignment horizontal="left"/>
      <protection locked="0"/>
    </xf>
    <xf numFmtId="0" fontId="22" fillId="0" borderId="56" xfId="59" applyFont="1" applyFill="1" applyBorder="1" applyAlignment="1" applyProtection="1">
      <alignment horizontal="left"/>
      <protection locked="0"/>
    </xf>
    <xf numFmtId="164" fontId="4" fillId="0" borderId="183" xfId="40" applyNumberFormat="1" applyFont="1" applyFill="1" applyBorder="1" applyAlignment="1" applyProtection="1">
      <alignment horizontal="left"/>
      <protection locked="0"/>
    </xf>
    <xf numFmtId="3" fontId="22" fillId="0" borderId="160" xfId="61" applyNumberFormat="1" applyFont="1" applyFill="1" applyBorder="1" applyAlignment="1" applyProtection="1">
      <alignment horizontal="left"/>
      <protection locked="0"/>
    </xf>
    <xf numFmtId="37" fontId="3" fillId="0" borderId="184" xfId="61" applyNumberFormat="1" applyFont="1" applyFill="1" applyBorder="1" applyAlignment="1" applyProtection="1">
      <alignment horizontal="right"/>
      <protection/>
    </xf>
    <xf numFmtId="49" fontId="9" fillId="0" borderId="31" xfId="61" applyNumberFormat="1" applyFont="1" applyFill="1" applyBorder="1" applyAlignment="1" applyProtection="1">
      <alignment horizontal="left"/>
      <protection locked="0"/>
    </xf>
    <xf numFmtId="0" fontId="88" fillId="0" borderId="0" xfId="0" applyFont="1" applyAlignment="1">
      <alignment/>
    </xf>
    <xf numFmtId="0" fontId="0" fillId="0" borderId="0" xfId="0" applyAlignment="1">
      <alignment horizontal="left"/>
    </xf>
    <xf numFmtId="3" fontId="48" fillId="0" borderId="18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82" xfId="0" applyNumberFormat="1" applyFont="1" applyBorder="1" applyAlignment="1">
      <alignment/>
    </xf>
    <xf numFmtId="3" fontId="49" fillId="0" borderId="182" xfId="0" applyNumberFormat="1" applyFont="1" applyFill="1" applyBorder="1" applyAlignment="1">
      <alignment/>
    </xf>
    <xf numFmtId="38" fontId="9" fillId="37" borderId="103" xfId="59" applyNumberFormat="1" applyFont="1" applyFill="1" applyBorder="1" applyAlignment="1">
      <alignment horizontal="center"/>
      <protection/>
    </xf>
    <xf numFmtId="0" fontId="3" fillId="0" borderId="185" xfId="59" applyFont="1" applyBorder="1" applyProtection="1">
      <alignment/>
      <protection locked="0"/>
    </xf>
    <xf numFmtId="0" fontId="3" fillId="0" borderId="28" xfId="59" applyFont="1" applyBorder="1" applyProtection="1">
      <alignment/>
      <protection locked="0"/>
    </xf>
    <xf numFmtId="166" fontId="4" fillId="0" borderId="186" xfId="61" applyNumberFormat="1" applyFont="1" applyFill="1" applyBorder="1" applyAlignment="1" applyProtection="1">
      <alignment horizontal="left"/>
      <protection/>
    </xf>
    <xf numFmtId="37" fontId="3" fillId="0" borderId="46" xfId="61" applyNumberFormat="1" applyFont="1" applyFill="1" applyBorder="1" applyAlignment="1" applyProtection="1">
      <alignment horizontal="center"/>
      <protection/>
    </xf>
    <xf numFmtId="37" fontId="3" fillId="0" borderId="153" xfId="61" applyNumberFormat="1" applyFont="1" applyFill="1" applyBorder="1" applyAlignment="1" applyProtection="1">
      <alignment horizontal="right"/>
      <protection/>
    </xf>
    <xf numFmtId="37" fontId="3" fillId="0" borderId="151" xfId="61" applyNumberFormat="1" applyFont="1" applyFill="1" applyBorder="1" applyAlignment="1" applyProtection="1">
      <alignment horizontal="right"/>
      <protection/>
    </xf>
    <xf numFmtId="37" fontId="3" fillId="0" borderId="152" xfId="61" applyNumberFormat="1" applyFont="1" applyFill="1" applyBorder="1" applyAlignment="1" applyProtection="1">
      <alignment horizontal="right"/>
      <protection locked="0"/>
    </xf>
    <xf numFmtId="37" fontId="3" fillId="0" borderId="153" xfId="61" applyNumberFormat="1" applyFont="1" applyFill="1" applyBorder="1" applyAlignment="1" applyProtection="1">
      <alignment horizontal="right"/>
      <protection locked="0"/>
    </xf>
    <xf numFmtId="164" fontId="4" fillId="0" borderId="183" xfId="61" applyNumberFormat="1" applyFont="1" applyFill="1" applyBorder="1" applyAlignment="1" applyProtection="1">
      <alignment horizontal="left"/>
      <protection locked="0"/>
    </xf>
    <xf numFmtId="38" fontId="4" fillId="34" borderId="46" xfId="59" applyNumberFormat="1" applyFont="1" applyFill="1" applyBorder="1" applyAlignment="1">
      <alignment horizontal="center"/>
      <protection/>
    </xf>
    <xf numFmtId="38" fontId="3" fillId="34" borderId="187" xfId="59" applyNumberFormat="1" applyFont="1" applyFill="1" applyBorder="1" applyAlignment="1">
      <alignment/>
      <protection/>
    </xf>
    <xf numFmtId="38" fontId="3" fillId="34" borderId="142" xfId="59" applyNumberFormat="1" applyFont="1" applyFill="1" applyBorder="1" applyAlignment="1">
      <alignment/>
      <protection/>
    </xf>
    <xf numFmtId="37" fontId="4" fillId="0" borderId="154" xfId="61" applyNumberFormat="1" applyFont="1" applyFill="1" applyBorder="1" applyAlignment="1" applyProtection="1">
      <alignment horizontal="right"/>
      <protection/>
    </xf>
    <xf numFmtId="3" fontId="3" fillId="0" borderId="88" xfId="61" applyNumberFormat="1" applyFont="1" applyFill="1" applyBorder="1" applyAlignment="1" applyProtection="1">
      <alignment horizontal="center"/>
      <protection/>
    </xf>
    <xf numFmtId="3" fontId="4" fillId="34" borderId="41" xfId="61" applyNumberFormat="1" applyFont="1" applyFill="1" applyBorder="1" applyAlignment="1">
      <alignment horizontal="center"/>
      <protection/>
    </xf>
    <xf numFmtId="166" fontId="4" fillId="0" borderId="151" xfId="61" applyNumberFormat="1" applyFont="1" applyFill="1" applyBorder="1" applyAlignment="1" applyProtection="1">
      <alignment horizontal="right"/>
      <protection locked="0"/>
    </xf>
    <xf numFmtId="38" fontId="4" fillId="0" borderId="151" xfId="40" applyNumberFormat="1" applyFont="1" applyFill="1" applyBorder="1" applyAlignment="1" applyProtection="1">
      <alignment horizontal="right"/>
      <protection locked="0"/>
    </xf>
    <xf numFmtId="38" fontId="4" fillId="0" borderId="46" xfId="40" applyNumberFormat="1" applyFont="1" applyFill="1" applyBorder="1" applyAlignment="1" applyProtection="1">
      <alignment horizontal="center"/>
      <protection locked="0"/>
    </xf>
    <xf numFmtId="38" fontId="4" fillId="0" borderId="153" xfId="40" applyNumberFormat="1" applyFont="1" applyFill="1" applyBorder="1" applyAlignment="1" applyProtection="1">
      <alignment horizontal="right"/>
      <protection/>
    </xf>
    <xf numFmtId="38" fontId="4" fillId="0" borderId="151" xfId="40" applyNumberFormat="1" applyFont="1" applyFill="1" applyBorder="1" applyAlignment="1" applyProtection="1">
      <alignment horizontal="right"/>
      <protection/>
    </xf>
    <xf numFmtId="38" fontId="4" fillId="34" borderId="151" xfId="40" applyNumberFormat="1" applyFont="1" applyFill="1" applyBorder="1" applyAlignment="1">
      <alignment horizontal="center"/>
      <protection/>
    </xf>
    <xf numFmtId="38" fontId="4" fillId="34" borderId="187" xfId="40" applyNumberFormat="1" applyFont="1" applyFill="1" applyBorder="1" applyAlignment="1">
      <alignment/>
      <protection/>
    </xf>
    <xf numFmtId="38" fontId="4" fillId="34" borderId="142" xfId="40" applyNumberFormat="1" applyFont="1" applyFill="1" applyBorder="1" applyAlignment="1">
      <alignment/>
      <protection/>
    </xf>
    <xf numFmtId="0" fontId="4" fillId="0" borderId="46" xfId="59" applyFont="1" applyBorder="1" applyProtection="1">
      <alignment/>
      <protection locked="0"/>
    </xf>
    <xf numFmtId="38" fontId="4" fillId="34" borderId="12" xfId="59" applyNumberFormat="1" applyFont="1" applyFill="1" applyBorder="1" applyAlignment="1">
      <alignment horizontal="center"/>
      <protection/>
    </xf>
    <xf numFmtId="38" fontId="10" fillId="0" borderId="188" xfId="59" applyNumberFormat="1" applyFont="1" applyBorder="1" applyAlignment="1">
      <alignment horizontal="center"/>
      <protection/>
    </xf>
    <xf numFmtId="38" fontId="9" fillId="0" borderId="37" xfId="59" applyNumberFormat="1" applyFont="1" applyBorder="1" applyAlignment="1">
      <alignment/>
      <protection/>
    </xf>
    <xf numFmtId="38" fontId="9" fillId="33" borderId="37" xfId="59" applyNumberFormat="1" applyFont="1" applyFill="1" applyBorder="1" applyAlignment="1">
      <alignment/>
      <protection/>
    </xf>
    <xf numFmtId="38" fontId="9" fillId="33" borderId="36" xfId="59" applyNumberFormat="1" applyFont="1" applyFill="1" applyBorder="1" applyAlignment="1">
      <alignment/>
      <protection/>
    </xf>
    <xf numFmtId="0" fontId="9" fillId="0" borderId="188" xfId="59" applyFont="1" applyBorder="1" applyProtection="1">
      <alignment/>
      <protection locked="0"/>
    </xf>
    <xf numFmtId="166" fontId="3" fillId="0" borderId="72" xfId="61" applyNumberFormat="1" applyFont="1" applyFill="1" applyBorder="1" applyAlignment="1" applyProtection="1">
      <alignment horizontal="right"/>
      <protection/>
    </xf>
    <xf numFmtId="166" fontId="3" fillId="0" borderId="72" xfId="61" applyNumberFormat="1" applyFont="1" applyFill="1" applyBorder="1" applyAlignment="1" applyProtection="1">
      <alignment horizontal="left"/>
      <protection/>
    </xf>
    <xf numFmtId="38" fontId="3" fillId="0" borderId="72" xfId="61" applyNumberFormat="1" applyFont="1" applyFill="1" applyBorder="1" applyAlignment="1" applyProtection="1">
      <alignment horizontal="right"/>
      <protection/>
    </xf>
    <xf numFmtId="38" fontId="3" fillId="0" borderId="72" xfId="61" applyNumberFormat="1" applyFont="1" applyFill="1" applyBorder="1" applyAlignment="1" applyProtection="1">
      <alignment horizontal="center"/>
      <protection/>
    </xf>
    <xf numFmtId="38" fontId="3" fillId="0" borderId="189" xfId="61" applyNumberFormat="1" applyFont="1" applyFill="1" applyBorder="1" applyAlignment="1" applyProtection="1">
      <alignment horizontal="right"/>
      <protection/>
    </xf>
    <xf numFmtId="3" fontId="4" fillId="0" borderId="72" xfId="61" applyNumberFormat="1" applyFont="1" applyFill="1" applyBorder="1" applyAlignment="1" applyProtection="1">
      <alignment horizontal="right"/>
      <protection/>
    </xf>
    <xf numFmtId="3" fontId="4" fillId="0" borderId="189" xfId="61" applyNumberFormat="1" applyFont="1" applyFill="1" applyBorder="1" applyAlignment="1" applyProtection="1">
      <alignment horizontal="right"/>
      <protection/>
    </xf>
    <xf numFmtId="37" fontId="3" fillId="0" borderId="72" xfId="61" applyNumberFormat="1" applyFont="1" applyFill="1" applyBorder="1" applyAlignment="1" applyProtection="1">
      <alignment horizontal="right"/>
      <protection/>
    </xf>
    <xf numFmtId="164" fontId="4" fillId="0" borderId="72" xfId="61" applyNumberFormat="1" applyFont="1" applyFill="1" applyBorder="1" applyAlignment="1" applyProtection="1">
      <alignment horizontal="left"/>
      <protection locked="0"/>
    </xf>
    <xf numFmtId="0" fontId="3" fillId="0" borderId="72" xfId="59" applyFont="1" applyBorder="1" applyProtection="1">
      <alignment/>
      <protection locked="0"/>
    </xf>
    <xf numFmtId="38" fontId="3" fillId="0" borderId="190" xfId="61" applyNumberFormat="1" applyFont="1" applyFill="1" applyBorder="1" applyAlignment="1" applyProtection="1">
      <alignment horizontal="right"/>
      <protection/>
    </xf>
    <xf numFmtId="38" fontId="3" fillId="0" borderId="191" xfId="61" applyNumberFormat="1" applyFont="1" applyFill="1" applyBorder="1" applyAlignment="1" applyProtection="1">
      <alignment horizontal="right"/>
      <protection/>
    </xf>
    <xf numFmtId="38" fontId="4" fillId="0" borderId="46" xfId="40" applyNumberFormat="1" applyFont="1" applyFill="1" applyBorder="1" applyAlignment="1" applyProtection="1">
      <alignment horizontal="center"/>
      <protection/>
    </xf>
    <xf numFmtId="3" fontId="4" fillId="0" borderId="192" xfId="40" applyNumberFormat="1" applyFont="1" applyFill="1" applyBorder="1" applyAlignment="1" applyProtection="1">
      <alignment horizontal="right"/>
      <protection/>
    </xf>
    <xf numFmtId="3" fontId="4" fillId="0" borderId="193" xfId="40" applyNumberFormat="1" applyFont="1" applyFill="1" applyBorder="1" applyAlignment="1" applyProtection="1">
      <alignment horizontal="right"/>
      <protection/>
    </xf>
    <xf numFmtId="3" fontId="4" fillId="0" borderId="151" xfId="40" applyNumberFormat="1" applyFont="1" applyFill="1" applyBorder="1" applyAlignment="1" applyProtection="1">
      <alignment horizontal="right"/>
      <protection/>
    </xf>
    <xf numFmtId="37" fontId="4" fillId="0" borderId="194" xfId="40" applyNumberFormat="1" applyFont="1" applyFill="1" applyBorder="1" applyAlignment="1" applyProtection="1">
      <alignment horizontal="right"/>
      <protection/>
    </xf>
    <xf numFmtId="37" fontId="4" fillId="0" borderId="195" xfId="40" applyNumberFormat="1" applyFont="1" applyFill="1" applyBorder="1" applyAlignment="1" applyProtection="1">
      <alignment horizontal="right"/>
      <protection/>
    </xf>
    <xf numFmtId="0" fontId="4" fillId="34" borderId="151" xfId="59" applyFont="1" applyFill="1" applyBorder="1" applyProtection="1">
      <alignment/>
      <protection locked="0"/>
    </xf>
    <xf numFmtId="0" fontId="4" fillId="34" borderId="46" xfId="59" applyFont="1" applyFill="1" applyBorder="1" applyProtection="1">
      <alignment/>
      <protection locked="0"/>
    </xf>
    <xf numFmtId="0" fontId="4" fillId="34" borderId="142" xfId="59" applyFont="1" applyFill="1" applyBorder="1" applyProtection="1">
      <alignment/>
      <protection locked="0"/>
    </xf>
    <xf numFmtId="38" fontId="3" fillId="0" borderId="72" xfId="61" applyNumberFormat="1" applyFont="1" applyFill="1" applyBorder="1" applyAlignment="1" applyProtection="1">
      <alignment horizontal="right"/>
      <protection locked="0"/>
    </xf>
    <xf numFmtId="3" fontId="3" fillId="0" borderId="72" xfId="61" applyNumberFormat="1" applyFont="1" applyFill="1" applyBorder="1" applyAlignment="1" applyProtection="1">
      <alignment horizontal="right"/>
      <protection/>
    </xf>
    <xf numFmtId="37" fontId="3" fillId="0" borderId="72" xfId="61" applyNumberFormat="1" applyFont="1" applyFill="1" applyBorder="1" applyAlignment="1" applyProtection="1">
      <alignment horizontal="right"/>
      <protection locked="0"/>
    </xf>
    <xf numFmtId="3" fontId="3" fillId="0" borderId="196" xfId="61" applyNumberFormat="1" applyFont="1" applyFill="1" applyBorder="1" applyAlignment="1" applyProtection="1">
      <alignment horizontal="right"/>
      <protection/>
    </xf>
    <xf numFmtId="38" fontId="4" fillId="0" borderId="46" xfId="40" applyNumberFormat="1" applyFont="1" applyFill="1" applyBorder="1" applyAlignment="1" applyProtection="1">
      <alignment horizontal="right"/>
      <protection/>
    </xf>
    <xf numFmtId="37" fontId="4" fillId="0" borderId="152" xfId="40" applyNumberFormat="1" applyFont="1" applyFill="1" applyBorder="1" applyAlignment="1" applyProtection="1">
      <alignment horizontal="right"/>
      <protection locked="0"/>
    </xf>
    <xf numFmtId="37" fontId="4" fillId="0" borderId="153" xfId="40" applyNumberFormat="1" applyFont="1" applyFill="1" applyBorder="1" applyAlignment="1" applyProtection="1">
      <alignment horizontal="right"/>
      <protection locked="0"/>
    </xf>
    <xf numFmtId="164" fontId="4" fillId="0" borderId="142" xfId="40" applyNumberFormat="1" applyFont="1" applyFill="1" applyBorder="1" applyAlignment="1" applyProtection="1">
      <alignment horizontal="left"/>
      <protection locked="0"/>
    </xf>
    <xf numFmtId="0" fontId="3" fillId="34" borderId="151" xfId="59" applyFont="1" applyFill="1" applyBorder="1" applyProtection="1">
      <alignment/>
      <protection locked="0"/>
    </xf>
    <xf numFmtId="0" fontId="3" fillId="34" borderId="46" xfId="59" applyFont="1" applyFill="1" applyBorder="1" applyProtection="1">
      <alignment/>
      <protection locked="0"/>
    </xf>
    <xf numFmtId="0" fontId="3" fillId="34" borderId="142" xfId="59" applyFont="1" applyFill="1" applyBorder="1" applyProtection="1">
      <alignment/>
      <protection locked="0"/>
    </xf>
    <xf numFmtId="38" fontId="3" fillId="0" borderId="46" xfId="59" applyNumberFormat="1" applyFont="1" applyBorder="1" applyProtection="1">
      <alignment/>
      <protection locked="0"/>
    </xf>
    <xf numFmtId="38" fontId="9" fillId="0" borderId="73" xfId="61" applyNumberFormat="1" applyFont="1" applyFill="1" applyBorder="1" applyAlignment="1" applyProtection="1">
      <alignment horizontal="right"/>
      <protection/>
    </xf>
    <xf numFmtId="38" fontId="9" fillId="0" borderId="42" xfId="61" applyNumberFormat="1" applyFont="1" applyFill="1" applyBorder="1" applyAlignment="1" applyProtection="1">
      <alignment horizontal="right"/>
      <protection/>
    </xf>
    <xf numFmtId="3" fontId="9" fillId="0" borderId="42" xfId="61" applyNumberFormat="1" applyFont="1" applyFill="1" applyBorder="1" applyAlignment="1" applyProtection="1">
      <alignment horizontal="right"/>
      <protection/>
    </xf>
    <xf numFmtId="37" fontId="3" fillId="0" borderId="197" xfId="61" applyNumberFormat="1" applyFont="1" applyFill="1" applyBorder="1" applyAlignment="1" applyProtection="1">
      <alignment horizontal="right"/>
      <protection locked="0"/>
    </xf>
    <xf numFmtId="37" fontId="3" fillId="0" borderId="189" xfId="61" applyNumberFormat="1" applyFont="1" applyFill="1" applyBorder="1" applyAlignment="1" applyProtection="1">
      <alignment horizontal="right"/>
      <protection locked="0"/>
    </xf>
    <xf numFmtId="3" fontId="4" fillId="0" borderId="72" xfId="61" applyNumberFormat="1" applyFont="1" applyFill="1" applyBorder="1" applyAlignment="1" applyProtection="1">
      <alignment horizontal="left"/>
      <protection locked="0"/>
    </xf>
    <xf numFmtId="38" fontId="3" fillId="0" borderId="164" xfId="59" applyNumberFormat="1" applyFont="1" applyBorder="1" applyAlignment="1">
      <alignment horizontal="center"/>
      <protection/>
    </xf>
    <xf numFmtId="38" fontId="3" fillId="0" borderId="198" xfId="59" applyNumberFormat="1" applyFont="1" applyBorder="1" applyAlignment="1">
      <alignment/>
      <protection/>
    </xf>
    <xf numFmtId="38" fontId="3" fillId="33" borderId="198" xfId="59" applyNumberFormat="1" applyFont="1" applyFill="1" applyBorder="1" applyAlignment="1">
      <alignment/>
      <protection/>
    </xf>
    <xf numFmtId="38" fontId="3" fillId="33" borderId="199" xfId="59" applyNumberFormat="1" applyFont="1" applyFill="1" applyBorder="1" applyAlignment="1">
      <alignment/>
      <protection/>
    </xf>
    <xf numFmtId="3" fontId="4" fillId="0" borderId="142" xfId="40" applyNumberFormat="1" applyFont="1" applyFill="1" applyBorder="1" applyAlignment="1" applyProtection="1">
      <alignment horizontal="left"/>
      <protection locked="0"/>
    </xf>
    <xf numFmtId="38" fontId="3" fillId="0" borderId="151" xfId="59" applyNumberFormat="1" applyFont="1" applyBorder="1" applyAlignment="1">
      <alignment horizontal="center"/>
      <protection/>
    </xf>
    <xf numFmtId="38" fontId="3" fillId="0" borderId="187" xfId="59" applyNumberFormat="1" applyFont="1" applyBorder="1" applyAlignment="1">
      <alignment/>
      <protection/>
    </xf>
    <xf numFmtId="38" fontId="3" fillId="33" borderId="187" xfId="59" applyNumberFormat="1" applyFont="1" applyFill="1" applyBorder="1" applyAlignment="1">
      <alignment/>
      <protection/>
    </xf>
    <xf numFmtId="38" fontId="3" fillId="33" borderId="142" xfId="59" applyNumberFormat="1" applyFont="1" applyFill="1" applyBorder="1" applyAlignment="1">
      <alignment/>
      <protection/>
    </xf>
    <xf numFmtId="166" fontId="3" fillId="0" borderId="0" xfId="61" applyNumberFormat="1" applyFont="1" applyFill="1" applyBorder="1" applyAlignment="1" applyProtection="1">
      <alignment horizontal="right"/>
      <protection/>
    </xf>
    <xf numFmtId="38" fontId="3" fillId="0" borderId="197" xfId="61" applyNumberFormat="1" applyFont="1" applyFill="1" applyBorder="1" applyAlignment="1" applyProtection="1">
      <alignment horizontal="right"/>
      <protection/>
    </xf>
    <xf numFmtId="3" fontId="4" fillId="0" borderId="46" xfId="40" applyNumberFormat="1" applyFont="1" applyFill="1" applyBorder="1" applyAlignment="1" applyProtection="1">
      <alignment horizontal="center"/>
      <protection/>
    </xf>
    <xf numFmtId="3" fontId="4" fillId="0" borderId="46" xfId="40" applyNumberFormat="1" applyFont="1" applyFill="1" applyBorder="1" applyAlignment="1" applyProtection="1">
      <alignment horizontal="right"/>
      <protection/>
    </xf>
    <xf numFmtId="3" fontId="4" fillId="0" borderId="152" xfId="40" applyNumberFormat="1" applyFont="1" applyFill="1" applyBorder="1" applyAlignment="1" applyProtection="1">
      <alignment horizontal="right"/>
      <protection locked="0"/>
    </xf>
    <xf numFmtId="37" fontId="86" fillId="0" borderId="99" xfId="40" applyNumberFormat="1" applyFont="1" applyFill="1" applyBorder="1" applyAlignment="1" applyProtection="1">
      <alignment horizontal="right"/>
      <protection/>
    </xf>
    <xf numFmtId="166" fontId="3" fillId="0" borderId="72" xfId="61" applyNumberFormat="1" applyFont="1" applyFill="1" applyBorder="1" applyAlignment="1" applyProtection="1">
      <alignment horizontal="right"/>
      <protection locked="0"/>
    </xf>
    <xf numFmtId="166" fontId="3" fillId="0" borderId="72" xfId="61" applyNumberFormat="1" applyFont="1" applyFill="1" applyBorder="1" applyAlignment="1" applyProtection="1">
      <alignment horizontal="left"/>
      <protection locked="0"/>
    </xf>
    <xf numFmtId="38" fontId="3" fillId="0" borderId="72" xfId="61" applyNumberFormat="1" applyFont="1" applyFill="1" applyBorder="1" applyAlignment="1" applyProtection="1">
      <alignment horizontal="center"/>
      <protection locked="0"/>
    </xf>
    <xf numFmtId="37" fontId="3" fillId="0" borderId="200" xfId="61" applyNumberFormat="1" applyFont="1" applyFill="1" applyBorder="1" applyAlignment="1" applyProtection="1">
      <alignment horizontal="right"/>
      <protection locked="0"/>
    </xf>
    <xf numFmtId="164" fontId="3" fillId="0" borderId="185" xfId="61" applyNumberFormat="1" applyFont="1" applyFill="1" applyBorder="1" applyAlignment="1" applyProtection="1">
      <alignment horizontal="left"/>
      <protection locked="0"/>
    </xf>
    <xf numFmtId="164" fontId="3" fillId="0" borderId="198" xfId="61" applyNumberFormat="1" applyFont="1" applyFill="1" applyBorder="1" applyAlignment="1" applyProtection="1">
      <alignment horizontal="left"/>
      <protection locked="0"/>
    </xf>
    <xf numFmtId="164" fontId="3" fillId="0" borderId="199" xfId="61" applyNumberFormat="1" applyFont="1" applyFill="1" applyBorder="1" applyAlignment="1" applyProtection="1">
      <alignment horizontal="left"/>
      <protection locked="0"/>
    </xf>
    <xf numFmtId="164" fontId="3" fillId="34" borderId="46" xfId="61" applyNumberFormat="1" applyFont="1" applyFill="1" applyBorder="1" applyAlignment="1" applyProtection="1">
      <alignment horizontal="left"/>
      <protection locked="0"/>
    </xf>
    <xf numFmtId="164" fontId="3" fillId="34" borderId="187" xfId="61" applyNumberFormat="1" applyFont="1" applyFill="1" applyBorder="1" applyAlignment="1" applyProtection="1">
      <alignment horizontal="left"/>
      <protection locked="0"/>
    </xf>
    <xf numFmtId="164" fontId="3" fillId="34" borderId="142" xfId="61" applyNumberFormat="1" applyFont="1" applyFill="1" applyBorder="1" applyAlignment="1" applyProtection="1">
      <alignment horizontal="left"/>
      <protection locked="0"/>
    </xf>
    <xf numFmtId="166" fontId="3" fillId="0" borderId="201" xfId="61" applyNumberFormat="1" applyFont="1" applyFill="1" applyBorder="1" applyAlignment="1" applyProtection="1">
      <alignment horizontal="left"/>
      <protection/>
    </xf>
    <xf numFmtId="166" fontId="3" fillId="0" borderId="202" xfId="61" applyNumberFormat="1" applyFont="1" applyFill="1" applyBorder="1" applyAlignment="1" applyProtection="1">
      <alignment horizontal="left"/>
      <protection/>
    </xf>
    <xf numFmtId="38" fontId="3" fillId="0" borderId="30" xfId="61" applyNumberFormat="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 applyAlignment="1" applyProtection="1" quotePrefix="1">
      <alignment horizontal="right"/>
      <protection/>
    </xf>
    <xf numFmtId="37" fontId="3" fillId="0" borderId="30" xfId="61" applyNumberFormat="1" applyFont="1" applyFill="1" applyBorder="1" applyAlignment="1" applyProtection="1" quotePrefix="1">
      <alignment horizontal="right"/>
      <protection locked="0"/>
    </xf>
    <xf numFmtId="38" fontId="3" fillId="0" borderId="135" xfId="61" applyNumberFormat="1" applyFont="1" applyFill="1" applyBorder="1" applyAlignment="1" applyProtection="1">
      <alignment horizontal="right"/>
      <protection/>
    </xf>
    <xf numFmtId="166" fontId="3" fillId="0" borderId="203" xfId="61" applyNumberFormat="1" applyFont="1" applyFill="1" applyBorder="1" applyAlignment="1" applyProtection="1">
      <alignment horizontal="right"/>
      <protection/>
    </xf>
    <xf numFmtId="166" fontId="3" fillId="0" borderId="204" xfId="61" applyNumberFormat="1" applyFont="1" applyFill="1" applyBorder="1" applyAlignment="1" applyProtection="1">
      <alignment horizontal="left"/>
      <protection/>
    </xf>
    <xf numFmtId="38" fontId="3" fillId="0" borderId="203" xfId="61" applyNumberFormat="1" applyFont="1" applyFill="1" applyBorder="1" applyAlignment="1" applyProtection="1">
      <alignment horizontal="right"/>
      <protection/>
    </xf>
    <xf numFmtId="38" fontId="3" fillId="0" borderId="205" xfId="61" applyNumberFormat="1" applyFont="1" applyFill="1" applyBorder="1" applyAlignment="1" applyProtection="1">
      <alignment horizontal="center"/>
      <protection/>
    </xf>
    <xf numFmtId="38" fontId="3" fillId="0" borderId="206" xfId="61" applyNumberFormat="1" applyFont="1" applyFill="1" applyBorder="1" applyAlignment="1" applyProtection="1">
      <alignment horizontal="right"/>
      <protection/>
    </xf>
    <xf numFmtId="3" fontId="3" fillId="0" borderId="203" xfId="61" applyNumberFormat="1" applyFont="1" applyFill="1" applyBorder="1" applyAlignment="1" applyProtection="1" quotePrefix="1">
      <alignment horizontal="right"/>
      <protection/>
    </xf>
    <xf numFmtId="37" fontId="3" fillId="0" borderId="206" xfId="61" applyNumberFormat="1" applyFont="1" applyFill="1" applyBorder="1" applyAlignment="1" applyProtection="1" quotePrefix="1">
      <alignment horizontal="right"/>
      <protection locked="0"/>
    </xf>
    <xf numFmtId="37" fontId="3" fillId="0" borderId="207" xfId="61" applyNumberFormat="1" applyFont="1" applyFill="1" applyBorder="1" applyAlignment="1" applyProtection="1">
      <alignment horizontal="right"/>
      <protection locked="0"/>
    </xf>
    <xf numFmtId="38" fontId="3" fillId="0" borderId="208" xfId="61" applyNumberFormat="1" applyFont="1" applyFill="1" applyBorder="1" applyAlignment="1" applyProtection="1">
      <alignment horizontal="right"/>
      <protection/>
    </xf>
    <xf numFmtId="164" fontId="4" fillId="0" borderId="209" xfId="61" applyNumberFormat="1" applyFont="1" applyFill="1" applyBorder="1" applyAlignment="1" applyProtection="1">
      <alignment horizontal="left"/>
      <protection locked="0"/>
    </xf>
    <xf numFmtId="38" fontId="4" fillId="0" borderId="203" xfId="59" applyNumberFormat="1" applyFont="1" applyBorder="1" applyAlignment="1">
      <alignment horizontal="center"/>
      <protection/>
    </xf>
    <xf numFmtId="38" fontId="3" fillId="0" borderId="210" xfId="59" applyNumberFormat="1" applyFont="1" applyBorder="1" applyAlignment="1">
      <alignment/>
      <protection/>
    </xf>
    <xf numFmtId="38" fontId="3" fillId="33" borderId="210" xfId="59" applyNumberFormat="1" applyFont="1" applyFill="1" applyBorder="1" applyAlignment="1">
      <alignment/>
      <protection/>
    </xf>
    <xf numFmtId="38" fontId="3" fillId="33" borderId="211" xfId="59" applyNumberFormat="1" applyFont="1" applyFill="1" applyBorder="1" applyAlignment="1">
      <alignment/>
      <protection/>
    </xf>
    <xf numFmtId="0" fontId="3" fillId="0" borderId="205" xfId="59" applyFont="1" applyBorder="1" applyProtection="1">
      <alignment/>
      <protection locked="0"/>
    </xf>
    <xf numFmtId="166" fontId="3" fillId="0" borderId="12" xfId="61" applyNumberFormat="1" applyFont="1" applyFill="1" applyBorder="1" applyAlignment="1" applyProtection="1">
      <alignment horizontal="right"/>
      <protection/>
    </xf>
    <xf numFmtId="38" fontId="4" fillId="0" borderId="13" xfId="59" applyNumberFormat="1" applyFont="1" applyBorder="1" applyAlignment="1">
      <alignment horizontal="center"/>
      <protection/>
    </xf>
    <xf numFmtId="38" fontId="3" fillId="0" borderId="19" xfId="59" applyNumberFormat="1" applyFont="1" applyBorder="1" applyAlignment="1">
      <alignment/>
      <protection/>
    </xf>
    <xf numFmtId="38" fontId="3" fillId="33" borderId="19" xfId="59" applyNumberFormat="1" applyFont="1" applyFill="1" applyBorder="1" applyAlignment="1">
      <alignment/>
      <protection/>
    </xf>
    <xf numFmtId="38" fontId="3" fillId="33" borderId="18" xfId="59" applyNumberFormat="1" applyFont="1" applyFill="1" applyBorder="1" applyAlignment="1">
      <alignment/>
      <protection/>
    </xf>
    <xf numFmtId="166" fontId="3" fillId="0" borderId="204" xfId="61" applyNumberFormat="1" applyFont="1" applyFill="1" applyBorder="1" applyAlignment="1" applyProtection="1">
      <alignment/>
      <protection/>
    </xf>
    <xf numFmtId="164" fontId="3" fillId="0" borderId="209" xfId="61" applyNumberFormat="1" applyFont="1" applyFill="1" applyBorder="1" applyAlignment="1" applyProtection="1">
      <alignment horizontal="left"/>
      <protection locked="0"/>
    </xf>
    <xf numFmtId="3" fontId="3" fillId="0" borderId="203" xfId="61" applyNumberFormat="1" applyFont="1" applyFill="1" applyBorder="1" applyAlignment="1" applyProtection="1">
      <alignment horizontal="right"/>
      <protection/>
    </xf>
    <xf numFmtId="37" fontId="3" fillId="0" borderId="206" xfId="61" applyNumberFormat="1" applyFont="1" applyFill="1" applyBorder="1" applyAlignment="1" applyProtection="1">
      <alignment horizontal="right"/>
      <protection locked="0"/>
    </xf>
    <xf numFmtId="38" fontId="4" fillId="0" borderId="210" xfId="59" applyNumberFormat="1" applyFont="1" applyBorder="1" applyAlignment="1">
      <alignment/>
      <protection/>
    </xf>
    <xf numFmtId="38" fontId="4" fillId="33" borderId="210" xfId="59" applyNumberFormat="1" applyFont="1" applyFill="1" applyBorder="1" applyAlignment="1">
      <alignment/>
      <protection/>
    </xf>
    <xf numFmtId="38" fontId="4" fillId="33" borderId="211" xfId="59" applyNumberFormat="1" applyFont="1" applyFill="1" applyBorder="1" applyAlignment="1">
      <alignment/>
      <protection/>
    </xf>
    <xf numFmtId="0" fontId="4" fillId="0" borderId="205" xfId="59" applyFont="1" applyBorder="1" applyProtection="1">
      <alignment/>
      <protection locked="0"/>
    </xf>
    <xf numFmtId="38" fontId="3" fillId="0" borderId="203" xfId="59" applyNumberFormat="1" applyFont="1" applyBorder="1" applyAlignment="1">
      <alignment horizontal="center"/>
      <protection/>
    </xf>
    <xf numFmtId="166" fontId="3" fillId="0" borderId="204" xfId="61" applyNumberFormat="1" applyFont="1" applyFill="1" applyBorder="1" applyAlignment="1" applyProtection="1">
      <alignment horizontal="right"/>
      <protection/>
    </xf>
    <xf numFmtId="38" fontId="3" fillId="0" borderId="212" xfId="61" applyNumberFormat="1" applyFont="1" applyFill="1" applyBorder="1" applyAlignment="1" applyProtection="1">
      <alignment horizontal="right"/>
      <protection/>
    </xf>
    <xf numFmtId="38" fontId="3" fillId="0" borderId="205" xfId="61" applyNumberFormat="1" applyFont="1" applyFill="1" applyBorder="1" applyAlignment="1" applyProtection="1">
      <alignment horizontal="right"/>
      <protection/>
    </xf>
    <xf numFmtId="166" fontId="3" fillId="0" borderId="213" xfId="61" applyNumberFormat="1" applyFont="1" applyFill="1" applyBorder="1" applyAlignment="1" applyProtection="1" quotePrefix="1">
      <alignment horizontal="right"/>
      <protection/>
    </xf>
    <xf numFmtId="166" fontId="3" fillId="0" borderId="214" xfId="61" applyNumberFormat="1" applyFont="1" applyFill="1" applyBorder="1" applyAlignment="1" applyProtection="1">
      <alignment horizontal="left"/>
      <protection/>
    </xf>
    <xf numFmtId="38" fontId="3" fillId="0" borderId="207" xfId="61" applyNumberFormat="1" applyFont="1" applyFill="1" applyBorder="1" applyAlignment="1" applyProtection="1">
      <alignment horizontal="right"/>
      <protection/>
    </xf>
    <xf numFmtId="38" fontId="3" fillId="0" borderId="215" xfId="61" applyNumberFormat="1" applyFont="1" applyFill="1" applyBorder="1" applyAlignment="1" applyProtection="1">
      <alignment horizontal="right"/>
      <protection/>
    </xf>
    <xf numFmtId="38" fontId="4" fillId="0" borderId="205" xfId="59" applyNumberFormat="1" applyFont="1" applyBorder="1" applyAlignment="1">
      <alignment horizontal="center"/>
      <protection/>
    </xf>
    <xf numFmtId="0" fontId="3" fillId="0" borderId="13" xfId="59" applyFont="1" applyBorder="1" applyProtection="1">
      <alignment/>
      <protection locked="0"/>
    </xf>
    <xf numFmtId="38" fontId="11" fillId="0" borderId="84" xfId="61" applyNumberFormat="1" applyFont="1" applyFill="1" applyBorder="1" applyAlignment="1" applyProtection="1">
      <alignment horizontal="center"/>
      <protection/>
    </xf>
    <xf numFmtId="37" fontId="11" fillId="0" borderId="73" xfId="61" applyNumberFormat="1" applyFont="1" applyFill="1" applyBorder="1" applyAlignment="1" applyProtection="1">
      <alignment horizontal="center"/>
      <protection locked="0"/>
    </xf>
    <xf numFmtId="37" fontId="11" fillId="0" borderId="42" xfId="61" applyNumberFormat="1" applyFont="1" applyFill="1" applyBorder="1" applyAlignment="1" applyProtection="1">
      <alignment horizontal="center"/>
      <protection locked="0"/>
    </xf>
    <xf numFmtId="166" fontId="3" fillId="0" borderId="0" xfId="61" applyNumberFormat="1" applyFont="1" applyFill="1" applyBorder="1" applyAlignment="1" applyProtection="1">
      <alignment horizontal="left"/>
      <protection/>
    </xf>
    <xf numFmtId="38" fontId="3" fillId="0" borderId="139" xfId="61" applyNumberFormat="1" applyFont="1" applyFill="1" applyBorder="1" applyAlignment="1" applyProtection="1">
      <alignment horizontal="right"/>
      <protection locked="0"/>
    </xf>
    <xf numFmtId="3" fontId="3" fillId="0" borderId="0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Fill="1" applyBorder="1" applyAlignment="1" applyProtection="1">
      <alignment horizontal="right"/>
      <protection locked="0"/>
    </xf>
    <xf numFmtId="38" fontId="3" fillId="0" borderId="200" xfId="61" applyNumberFormat="1" applyFont="1" applyFill="1" applyBorder="1" applyAlignment="1" applyProtection="1">
      <alignment horizontal="right"/>
      <protection locked="0"/>
    </xf>
    <xf numFmtId="164" fontId="4" fillId="0" borderId="0" xfId="61" applyNumberFormat="1" applyFont="1" applyFill="1" applyBorder="1" applyAlignment="1" applyProtection="1">
      <alignment horizontal="left"/>
      <protection locked="0"/>
    </xf>
    <xf numFmtId="0" fontId="3" fillId="0" borderId="12" xfId="59" applyFont="1" applyFill="1" applyBorder="1" applyAlignment="1">
      <alignment horizontal="right"/>
      <protection/>
    </xf>
    <xf numFmtId="37" fontId="9" fillId="0" borderId="42" xfId="61" applyNumberFormat="1" applyFont="1" applyFill="1" applyBorder="1" applyAlignment="1" applyProtection="1">
      <alignment horizontal="right"/>
      <protection/>
    </xf>
    <xf numFmtId="37" fontId="3" fillId="0" borderId="0" xfId="59" applyNumberFormat="1" applyFont="1" applyFill="1" applyAlignment="1" applyProtection="1">
      <alignment horizontal="left"/>
      <protection/>
    </xf>
    <xf numFmtId="37" fontId="89" fillId="0" borderId="0" xfId="61" applyNumberFormat="1" applyFont="1" applyFill="1" applyAlignment="1" applyProtection="1">
      <alignment horizontal="right"/>
      <protection/>
    </xf>
    <xf numFmtId="166" fontId="3" fillId="0" borderId="78" xfId="61" applyNumberFormat="1" applyFont="1" applyFill="1" applyBorder="1" applyAlignment="1" applyProtection="1">
      <alignment horizontal="right"/>
      <protection/>
    </xf>
    <xf numFmtId="37" fontId="3" fillId="0" borderId="169" xfId="61" applyNumberFormat="1" applyFont="1" applyFill="1" applyBorder="1" applyAlignment="1" applyProtection="1">
      <alignment horizontal="right"/>
      <protection/>
    </xf>
    <xf numFmtId="38" fontId="4" fillId="34" borderId="0" xfId="59" applyNumberFormat="1" applyFont="1" applyFill="1" applyBorder="1" applyAlignment="1">
      <alignment horizontal="center"/>
      <protection/>
    </xf>
    <xf numFmtId="38" fontId="3" fillId="34" borderId="64" xfId="59" applyNumberFormat="1" applyFont="1" applyFill="1" applyBorder="1" applyAlignment="1">
      <alignment/>
      <protection/>
    </xf>
    <xf numFmtId="38" fontId="3" fillId="34" borderId="63" xfId="59" applyNumberFormat="1" applyFont="1" applyFill="1" applyBorder="1" applyAlignment="1">
      <alignment/>
      <protection/>
    </xf>
    <xf numFmtId="0" fontId="0" fillId="0" borderId="0" xfId="0" applyAlignment="1">
      <alignment horizontal="center"/>
    </xf>
    <xf numFmtId="0" fontId="48" fillId="0" borderId="182" xfId="0" applyFont="1" applyBorder="1" applyAlignment="1">
      <alignment horizontal="left"/>
    </xf>
    <xf numFmtId="0" fontId="77" fillId="0" borderId="182" xfId="0" applyFont="1" applyBorder="1" applyAlignment="1">
      <alignment wrapText="1"/>
    </xf>
    <xf numFmtId="0" fontId="3" fillId="37" borderId="0" xfId="59" applyFont="1" applyFill="1" applyBorder="1" applyProtection="1">
      <alignment/>
      <protection locked="0"/>
    </xf>
    <xf numFmtId="0" fontId="77" fillId="0" borderId="182" xfId="0" applyFont="1" applyFill="1" applyBorder="1" applyAlignment="1">
      <alignment horizontal="left" wrapText="1"/>
    </xf>
    <xf numFmtId="3" fontId="0" fillId="0" borderId="182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3" fillId="0" borderId="182" xfId="0" applyFont="1" applyFill="1" applyBorder="1" applyAlignment="1">
      <alignment/>
    </xf>
    <xf numFmtId="0" fontId="83" fillId="0" borderId="182" xfId="0" applyFont="1" applyFill="1" applyBorder="1" applyAlignment="1">
      <alignment horizontal="left" wrapText="1"/>
    </xf>
    <xf numFmtId="0" fontId="90" fillId="0" borderId="182" xfId="0" applyFont="1" applyFill="1" applyBorder="1" applyAlignment="1">
      <alignment/>
    </xf>
    <xf numFmtId="0" fontId="91" fillId="0" borderId="182" xfId="0" applyFont="1" applyFill="1" applyBorder="1" applyAlignment="1">
      <alignment horizontal="left" wrapText="1"/>
    </xf>
    <xf numFmtId="3" fontId="90" fillId="0" borderId="182" xfId="0" applyNumberFormat="1" applyFont="1" applyFill="1" applyBorder="1" applyAlignment="1">
      <alignment/>
    </xf>
    <xf numFmtId="0" fontId="77" fillId="0" borderId="182" xfId="0" applyFont="1" applyFill="1" applyBorder="1" applyAlignment="1">
      <alignment/>
    </xf>
    <xf numFmtId="0" fontId="92" fillId="0" borderId="0" xfId="0" applyFont="1" applyAlignment="1">
      <alignment horizontal="left"/>
    </xf>
    <xf numFmtId="164" fontId="20" fillId="0" borderId="14" xfId="61" applyNumberFormat="1" applyFont="1" applyFill="1" applyBorder="1" applyAlignment="1" applyProtection="1">
      <alignment horizontal="left"/>
      <protection locked="0"/>
    </xf>
    <xf numFmtId="0" fontId="88" fillId="0" borderId="182" xfId="0" applyFont="1" applyFill="1" applyBorder="1" applyAlignment="1">
      <alignment/>
    </xf>
    <xf numFmtId="166" fontId="49" fillId="12" borderId="182" xfId="62" applyFont="1" applyFill="1" applyBorder="1">
      <alignment/>
      <protection/>
    </xf>
    <xf numFmtId="3" fontId="49" fillId="12" borderId="182" xfId="62" applyNumberFormat="1" applyFont="1" applyFill="1" applyBorder="1">
      <alignment/>
      <protection/>
    </xf>
    <xf numFmtId="0" fontId="0" fillId="12" borderId="182" xfId="0" applyFill="1" applyBorder="1" applyAlignment="1">
      <alignment/>
    </xf>
    <xf numFmtId="166" fontId="49" fillId="13" borderId="182" xfId="62" applyFont="1" applyFill="1" applyBorder="1">
      <alignment/>
      <protection/>
    </xf>
    <xf numFmtId="3" fontId="49" fillId="13" borderId="182" xfId="62" applyNumberFormat="1" applyFont="1" applyFill="1" applyBorder="1">
      <alignment/>
      <protection/>
    </xf>
    <xf numFmtId="0" fontId="0" fillId="13" borderId="182" xfId="0" applyFill="1" applyBorder="1" applyAlignment="1">
      <alignment/>
    </xf>
    <xf numFmtId="166" fontId="56" fillId="0" borderId="182" xfId="62" applyFont="1" applyFill="1" applyBorder="1">
      <alignment/>
      <protection/>
    </xf>
    <xf numFmtId="166" fontId="49" fillId="38" borderId="182" xfId="62" applyFont="1" applyFill="1" applyBorder="1">
      <alignment/>
      <protection/>
    </xf>
    <xf numFmtId="3" fontId="49" fillId="38" borderId="182" xfId="62" applyNumberFormat="1" applyFont="1" applyFill="1" applyBorder="1">
      <alignment/>
      <protection/>
    </xf>
    <xf numFmtId="3" fontId="48" fillId="0" borderId="182" xfId="59" applyNumberFormat="1" applyFont="1" applyBorder="1" applyAlignment="1">
      <alignment horizontal="right"/>
      <protection/>
    </xf>
    <xf numFmtId="0" fontId="0" fillId="38" borderId="0" xfId="0" applyFill="1" applyAlignment="1">
      <alignment/>
    </xf>
    <xf numFmtId="0" fontId="0" fillId="19" borderId="0" xfId="0" applyFill="1" applyAlignment="1">
      <alignment/>
    </xf>
    <xf numFmtId="0" fontId="0" fillId="12" borderId="0" xfId="0" applyFill="1" applyAlignment="1">
      <alignment/>
    </xf>
    <xf numFmtId="3" fontId="48" fillId="0" borderId="182" xfId="62" applyNumberFormat="1" applyFont="1" applyFill="1" applyBorder="1">
      <alignment/>
      <protection/>
    </xf>
    <xf numFmtId="37" fontId="3" fillId="0" borderId="216" xfId="61" applyNumberFormat="1" applyFont="1" applyFill="1" applyBorder="1" applyAlignment="1" applyProtection="1">
      <alignment horizontal="right"/>
      <protection/>
    </xf>
    <xf numFmtId="164" fontId="3" fillId="0" borderId="167" xfId="61" applyNumberFormat="1" applyFont="1" applyFill="1" applyBorder="1" applyAlignment="1" applyProtection="1">
      <alignment horizontal="left"/>
      <protection locked="0"/>
    </xf>
    <xf numFmtId="38" fontId="4" fillId="0" borderId="217" xfId="40" applyNumberFormat="1" applyFont="1" applyFill="1" applyBorder="1" applyAlignment="1" applyProtection="1">
      <alignment horizontal="right"/>
      <protection/>
    </xf>
    <xf numFmtId="37" fontId="3" fillId="0" borderId="218" xfId="61" applyNumberFormat="1" applyFont="1" applyFill="1" applyBorder="1" applyAlignment="1" applyProtection="1">
      <alignment horizontal="right"/>
      <protection/>
    </xf>
    <xf numFmtId="37" fontId="86" fillId="0" borderId="99" xfId="0" applyNumberFormat="1" applyFont="1" applyBorder="1" applyAlignment="1" applyProtection="1">
      <alignment/>
      <protection hidden="1" locked="0"/>
    </xf>
    <xf numFmtId="37" fontId="3" fillId="0" borderId="219" xfId="61" applyNumberFormat="1" applyFont="1" applyFill="1" applyBorder="1" applyAlignment="1" applyProtection="1">
      <alignment horizontal="right"/>
      <protection/>
    </xf>
    <xf numFmtId="166" fontId="7" fillId="0" borderId="55" xfId="61" applyNumberFormat="1" applyFont="1" applyFill="1" applyBorder="1" applyAlignment="1" applyProtection="1">
      <alignment horizontal="right"/>
      <protection/>
    </xf>
    <xf numFmtId="166" fontId="7" fillId="0" borderId="27" xfId="61" applyNumberFormat="1" applyFont="1" applyFill="1" applyBorder="1" applyAlignment="1" applyProtection="1">
      <alignment horizontal="left"/>
      <protection/>
    </xf>
    <xf numFmtId="37" fontId="3" fillId="0" borderId="220" xfId="61" applyNumberFormat="1" applyFont="1" applyFill="1" applyBorder="1" applyAlignment="1" applyProtection="1">
      <alignment horizontal="right"/>
      <protection/>
    </xf>
    <xf numFmtId="37" fontId="3" fillId="0" borderId="221" xfId="61" applyNumberFormat="1" applyFont="1" applyFill="1" applyBorder="1" applyAlignment="1" applyProtection="1">
      <alignment horizontal="right"/>
      <protection/>
    </xf>
    <xf numFmtId="37" fontId="3" fillId="0" borderId="222" xfId="61" applyNumberFormat="1" applyFont="1" applyFill="1" applyBorder="1" applyAlignment="1" applyProtection="1">
      <alignment horizontal="right"/>
      <protection/>
    </xf>
    <xf numFmtId="37" fontId="3" fillId="0" borderId="223" xfId="61" applyNumberFormat="1" applyFont="1" applyFill="1" applyBorder="1" applyAlignment="1" applyProtection="1">
      <alignment horizontal="right"/>
      <protection/>
    </xf>
    <xf numFmtId="37" fontId="3" fillId="0" borderId="224" xfId="61" applyNumberFormat="1" applyFont="1" applyFill="1" applyBorder="1" applyAlignment="1" applyProtection="1">
      <alignment horizontal="right"/>
      <protection/>
    </xf>
    <xf numFmtId="37" fontId="3" fillId="0" borderId="225" xfId="61" applyNumberFormat="1" applyFont="1" applyFill="1" applyBorder="1" applyAlignment="1" applyProtection="1">
      <alignment horizontal="right"/>
      <protection/>
    </xf>
    <xf numFmtId="37" fontId="3" fillId="0" borderId="220" xfId="61" applyNumberFormat="1" applyFont="1" applyFill="1" applyBorder="1" applyAlignment="1" applyProtection="1" quotePrefix="1">
      <alignment horizontal="right"/>
      <protection/>
    </xf>
    <xf numFmtId="37" fontId="3" fillId="0" borderId="226" xfId="61" applyNumberFormat="1" applyFont="1" applyFill="1" applyBorder="1" applyAlignment="1" applyProtection="1">
      <alignment horizontal="right"/>
      <protection/>
    </xf>
    <xf numFmtId="37" fontId="3" fillId="0" borderId="227" xfId="61" applyNumberFormat="1" applyFont="1" applyFill="1" applyBorder="1" applyAlignment="1" applyProtection="1">
      <alignment horizontal="right"/>
      <protection/>
    </xf>
    <xf numFmtId="37" fontId="3" fillId="0" borderId="227" xfId="61" applyNumberFormat="1" applyFont="1" applyFill="1" applyBorder="1" applyAlignment="1" applyProtection="1" quotePrefix="1">
      <alignment horizontal="right"/>
      <protection/>
    </xf>
    <xf numFmtId="166" fontId="49" fillId="37" borderId="182" xfId="62" applyFont="1" applyFill="1" applyBorder="1">
      <alignment/>
      <protection/>
    </xf>
    <xf numFmtId="0" fontId="93" fillId="0" borderId="228" xfId="0" applyFont="1" applyFill="1" applyBorder="1" applyAlignment="1">
      <alignment/>
    </xf>
    <xf numFmtId="0" fontId="93" fillId="0" borderId="0" xfId="0" applyFont="1" applyAlignment="1">
      <alignment/>
    </xf>
    <xf numFmtId="3" fontId="93" fillId="0" borderId="228" xfId="0" applyNumberFormat="1" applyFont="1" applyFill="1" applyBorder="1" applyAlignment="1">
      <alignment/>
    </xf>
    <xf numFmtId="0" fontId="93" fillId="0" borderId="182" xfId="0" applyFont="1" applyBorder="1" applyAlignment="1">
      <alignment/>
    </xf>
    <xf numFmtId="0" fontId="94" fillId="0" borderId="182" xfId="0" applyFont="1" applyBorder="1" applyAlignment="1">
      <alignment horizontal="left" wrapText="1"/>
    </xf>
    <xf numFmtId="3" fontId="93" fillId="0" borderId="182" xfId="0" applyNumberFormat="1" applyFont="1" applyBorder="1" applyAlignment="1">
      <alignment/>
    </xf>
    <xf numFmtId="166" fontId="3" fillId="0" borderId="37" xfId="61" applyNumberFormat="1" applyFont="1" applyFill="1" applyBorder="1" applyAlignment="1" applyProtection="1">
      <alignment horizontal="left"/>
      <protection/>
    </xf>
    <xf numFmtId="37" fontId="3" fillId="0" borderId="173" xfId="61" applyNumberFormat="1" applyFont="1" applyFill="1" applyBorder="1" applyAlignment="1" applyProtection="1">
      <alignment horizontal="right"/>
      <protection locked="0"/>
    </xf>
    <xf numFmtId="164" fontId="3" fillId="0" borderId="36" xfId="61" applyNumberFormat="1" applyFont="1" applyFill="1" applyBorder="1" applyAlignment="1" applyProtection="1">
      <alignment horizontal="left"/>
      <protection locked="0"/>
    </xf>
    <xf numFmtId="166" fontId="3" fillId="0" borderId="27" xfId="61" applyNumberFormat="1" applyFont="1" applyFill="1" applyBorder="1" applyAlignment="1" applyProtection="1">
      <alignment horizontal="right"/>
      <protection/>
    </xf>
    <xf numFmtId="164" fontId="4" fillId="0" borderId="41" xfId="61" applyNumberFormat="1" applyFont="1" applyFill="1" applyBorder="1" applyAlignment="1" applyProtection="1">
      <alignment horizontal="left"/>
      <protection locked="0"/>
    </xf>
    <xf numFmtId="0" fontId="93" fillId="0" borderId="182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dget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Budget01" xfId="61"/>
    <cellStyle name="Normal_Budget0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" name="Oval 1"/>
        <xdr:cNvSpPr>
          <a:spLocks/>
        </xdr:cNvSpPr>
      </xdr:nvSpPr>
      <xdr:spPr>
        <a:xfrm>
          <a:off x="3743325" y="8162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AutoShape 2"/>
        <xdr:cNvSpPr>
          <a:spLocks/>
        </xdr:cNvSpPr>
      </xdr:nvSpPr>
      <xdr:spPr>
        <a:xfrm rot="16044488">
          <a:off x="3743325" y="8162925"/>
          <a:ext cx="0" cy="0"/>
        </a:xfrm>
        <a:prstGeom prst="curvedDown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entwork\Local%20Settings\Temporary%20Internet%20Files\OLKC\Excel\BUDGET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homes\staff\SmithD\Budget%20'09\Budget%20'13\12eoy1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le\AppData\Local\Microsoft\Windows\Temporary%20Internet%20Files\Content.Outlook\Q68PFVGC\Budget%20-%20%202020%20-%20Preliminary%20-%20January%20-%20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an\other%20stuff\BUDGET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ithd\Local%20Settings\Temporary%20Internet%20Files\OLK1D\Budget%20-%20%202011%20-%20P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98SALARIES"/>
      <sheetName val="NEW LOOK"/>
      <sheetName val="BUD98 (BASE)"/>
      <sheetName val="BASE+ALLOC"/>
      <sheetName val="BASE+ALLOC (FC)"/>
      <sheetName val="BS+ALC (2)"/>
      <sheetName val="BS+ALC 2 (FC)"/>
      <sheetName val="KEITH"/>
      <sheetName val="WISH98"/>
      <sheetName val="Current"/>
      <sheetName val="SPRDS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 19"/>
      <sheetName val="comments"/>
      <sheetName val="eoy12"/>
      <sheetName val="schedule3"/>
      <sheetName val="schools"/>
      <sheetName val="convert"/>
      <sheetName val="data"/>
      <sheetName val="edits"/>
      <sheetName val="reports"/>
      <sheetName val="Schedule 19"/>
      <sheetName val="schedule3_total"/>
      <sheetName val="calcmis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enue 2018"/>
      <sheetName val="Budget Summary "/>
      <sheetName val="Sheet1"/>
      <sheetName val="2. Budget DESE"/>
      <sheetName val="5. Budget Worksheet Monthly"/>
      <sheetName val="6. Budget DESE Monthly"/>
      <sheetName val="7. Budget Summary Monthly "/>
      <sheetName val="Schedule 19"/>
      <sheetName val="Chart-of-Accounts"/>
      <sheetName val="Incre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98 (BAS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1 Budget"/>
      <sheetName val="2011 Budget Revised DESE"/>
      <sheetName val="Budget Summary February"/>
      <sheetName val="Budget Summary  March"/>
      <sheetName val="Budget Summary April"/>
      <sheetName val="Budget April (2)"/>
      <sheetName val="Budget April (3)"/>
      <sheetName val="Sheet1"/>
      <sheetName val="Needs Summary"/>
      <sheetName val="Chart-of-Accounts"/>
      <sheetName val="2011 Budget Mthly"/>
      <sheetName val="2011 Budget Revised DESE Mthly"/>
      <sheetName val="NSS Summary"/>
      <sheetName val="Energy"/>
      <sheetName val="Maint&amp;Custodia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theme="9" tint="-0.24997000396251678"/>
    <pageSetUpPr fitToPage="1"/>
  </sheetPr>
  <dimension ref="A1:AE93"/>
  <sheetViews>
    <sheetView showZeros="0" workbookViewId="0" topLeftCell="A1">
      <selection activeCell="N35" sqref="N35"/>
    </sheetView>
  </sheetViews>
  <sheetFormatPr defaultColWidth="9.140625" defaultRowHeight="15"/>
  <cols>
    <col min="1" max="1" width="2.7109375" style="232" customWidth="1"/>
    <col min="2" max="2" width="53.421875" style="232" customWidth="1"/>
    <col min="3" max="3" width="11.7109375" style="210" hidden="1" customWidth="1"/>
    <col min="4" max="4" width="12.7109375" style="210" hidden="1" customWidth="1"/>
    <col min="5" max="5" width="14.421875" style="232" hidden="1" customWidth="1"/>
    <col min="6" max="10" width="13.00390625" style="364" hidden="1" customWidth="1"/>
    <col min="11" max="11" width="12.421875" style="210" customWidth="1"/>
    <col min="12" max="12" width="3.421875" style="210" hidden="1" customWidth="1"/>
    <col min="13" max="13" width="0.13671875" style="232" customWidth="1"/>
    <col min="14" max="14" width="12.421875" style="210" customWidth="1"/>
    <col min="15" max="15" width="6.28125" style="232" hidden="1" customWidth="1"/>
    <col min="16" max="16" width="13.140625" style="232" customWidth="1"/>
    <col min="17" max="17" width="6.57421875" style="210" hidden="1" customWidth="1"/>
    <col min="18" max="18" width="50.57421875" style="210" customWidth="1"/>
    <col min="19" max="19" width="1.8515625" style="243" customWidth="1"/>
    <col min="20" max="20" width="14.28125" style="232" customWidth="1"/>
    <col min="21" max="21" width="13.421875" style="232" customWidth="1"/>
    <col min="22" max="22" width="14.57421875" style="232" customWidth="1"/>
    <col min="23" max="16384" width="9.140625" style="232" customWidth="1"/>
  </cols>
  <sheetData>
    <row r="1" spans="1:19" s="198" customFormat="1" ht="21.75" customHeight="1">
      <c r="A1" s="196"/>
      <c r="B1" s="197"/>
      <c r="E1" s="199"/>
      <c r="F1" s="200"/>
      <c r="G1" s="200"/>
      <c r="I1" s="201" t="s">
        <v>325</v>
      </c>
      <c r="J1" s="201"/>
      <c r="K1" s="202"/>
      <c r="L1" s="202"/>
      <c r="N1" s="202"/>
      <c r="P1" s="203"/>
      <c r="Q1" s="204"/>
      <c r="S1" s="205"/>
    </row>
    <row r="2" spans="1:19" s="198" customFormat="1" ht="21.75" customHeight="1">
      <c r="A2" s="196"/>
      <c r="B2" s="197"/>
      <c r="E2" s="199"/>
      <c r="F2" s="200"/>
      <c r="G2" s="200"/>
      <c r="I2" s="201"/>
      <c r="J2" s="201"/>
      <c r="K2" s="202"/>
      <c r="L2" s="202"/>
      <c r="N2" s="202"/>
      <c r="P2" s="203"/>
      <c r="Q2" s="204"/>
      <c r="S2" s="205"/>
    </row>
    <row r="3" spans="1:19" s="198" customFormat="1" ht="14.25" customHeight="1" thickBot="1">
      <c r="A3" s="196"/>
      <c r="B3" s="206"/>
      <c r="C3" s="207"/>
      <c r="D3" s="207"/>
      <c r="E3" s="208"/>
      <c r="F3" s="209"/>
      <c r="G3" s="209"/>
      <c r="H3" s="209"/>
      <c r="I3" s="209"/>
      <c r="J3" s="209"/>
      <c r="K3" s="210"/>
      <c r="L3" s="210"/>
      <c r="N3" s="210"/>
      <c r="Q3" s="204"/>
      <c r="R3" s="204"/>
      <c r="S3" s="205"/>
    </row>
    <row r="4" spans="1:23" s="198" customFormat="1" ht="12.75">
      <c r="A4" s="196"/>
      <c r="B4" s="211" t="s">
        <v>326</v>
      </c>
      <c r="C4" s="212"/>
      <c r="D4" s="213"/>
      <c r="E4" s="214"/>
      <c r="F4" s="214"/>
      <c r="G4" s="215"/>
      <c r="H4" s="215"/>
      <c r="I4" s="216">
        <v>1090</v>
      </c>
      <c r="J4" s="216"/>
      <c r="K4" s="217">
        <v>967</v>
      </c>
      <c r="L4" s="218"/>
      <c r="M4" s="219"/>
      <c r="N4" s="217">
        <v>967</v>
      </c>
      <c r="O4" s="220"/>
      <c r="P4" s="221"/>
      <c r="Q4" s="222"/>
      <c r="R4" s="223"/>
      <c r="S4" s="205"/>
      <c r="T4" s="205"/>
      <c r="U4" s="205"/>
      <c r="V4" s="205"/>
      <c r="W4" s="205"/>
    </row>
    <row r="5" spans="1:23" s="198" customFormat="1" ht="12.75">
      <c r="A5" s="196"/>
      <c r="B5" s="224"/>
      <c r="C5" s="225" t="s">
        <v>327</v>
      </c>
      <c r="D5" s="226" t="s">
        <v>328</v>
      </c>
      <c r="E5" s="226" t="s">
        <v>324</v>
      </c>
      <c r="F5" s="226" t="s">
        <v>329</v>
      </c>
      <c r="G5" s="225" t="s">
        <v>330</v>
      </c>
      <c r="H5" s="225" t="s">
        <v>331</v>
      </c>
      <c r="I5" s="226" t="s">
        <v>323</v>
      </c>
      <c r="J5" s="227" t="s">
        <v>322</v>
      </c>
      <c r="K5" s="227" t="s">
        <v>319</v>
      </c>
      <c r="L5" s="228"/>
      <c r="M5" s="229"/>
      <c r="N5" s="227" t="s">
        <v>564</v>
      </c>
      <c r="O5" s="229"/>
      <c r="P5" s="227"/>
      <c r="Q5" s="230"/>
      <c r="R5" s="231"/>
      <c r="S5" s="205"/>
      <c r="T5" s="205"/>
      <c r="U5" s="205"/>
      <c r="V5" s="205"/>
      <c r="W5" s="205"/>
    </row>
    <row r="6" spans="2:23" ht="12" customHeight="1" thickBot="1">
      <c r="B6" s="233"/>
      <c r="C6" s="234" t="s">
        <v>332</v>
      </c>
      <c r="D6" s="235" t="s">
        <v>333</v>
      </c>
      <c r="E6" s="236" t="s">
        <v>333</v>
      </c>
      <c r="F6" s="236" t="s">
        <v>333</v>
      </c>
      <c r="G6" s="237" t="s">
        <v>333</v>
      </c>
      <c r="H6" s="237" t="s">
        <v>333</v>
      </c>
      <c r="I6" s="236" t="s">
        <v>333</v>
      </c>
      <c r="J6" s="238" t="s">
        <v>333</v>
      </c>
      <c r="K6" s="238" t="s">
        <v>333</v>
      </c>
      <c r="L6" s="239"/>
      <c r="M6" s="240" t="s">
        <v>334</v>
      </c>
      <c r="N6" s="238" t="s">
        <v>333</v>
      </c>
      <c r="O6" s="240" t="s">
        <v>334</v>
      </c>
      <c r="P6" s="238" t="s">
        <v>335</v>
      </c>
      <c r="Q6" s="241" t="s">
        <v>334</v>
      </c>
      <c r="R6" s="242" t="s">
        <v>336</v>
      </c>
      <c r="T6" s="244"/>
      <c r="U6" s="244"/>
      <c r="V6" s="244"/>
      <c r="W6" s="244"/>
    </row>
    <row r="7" spans="1:23" ht="12.75">
      <c r="A7" s="245"/>
      <c r="B7" s="246" t="s">
        <v>337</v>
      </c>
      <c r="C7" s="212">
        <v>1292</v>
      </c>
      <c r="D7" s="213">
        <v>366025</v>
      </c>
      <c r="E7" s="247">
        <v>401293.6</v>
      </c>
      <c r="F7" s="247">
        <v>372955.425</v>
      </c>
      <c r="G7" s="248">
        <v>397873.71875</v>
      </c>
      <c r="H7" s="248">
        <v>415355</v>
      </c>
      <c r="I7" s="248">
        <v>407827.8</v>
      </c>
      <c r="J7" s="248">
        <v>425634.4583333333</v>
      </c>
      <c r="K7" s="728">
        <v>401891.5555</v>
      </c>
      <c r="L7" s="249"/>
      <c r="M7" s="250">
        <v>6</v>
      </c>
      <c r="N7" s="728">
        <f>'Budget Worksheet'!M7</f>
        <v>395908</v>
      </c>
      <c r="O7" s="366">
        <v>6</v>
      </c>
      <c r="P7" s="379">
        <f>SUM(N7-K7)</f>
        <v>-5983.555500000017</v>
      </c>
      <c r="Q7" s="251" t="e">
        <v>#REF!</v>
      </c>
      <c r="R7" s="252"/>
      <c r="S7" s="244"/>
      <c r="T7" s="244"/>
      <c r="U7" s="244"/>
      <c r="V7" s="244"/>
      <c r="W7" s="244"/>
    </row>
    <row r="8" spans="1:23" ht="12.75">
      <c r="A8" s="245"/>
      <c r="B8" s="253" t="s">
        <v>338</v>
      </c>
      <c r="C8" s="225">
        <v>2651623</v>
      </c>
      <c r="D8" s="226">
        <v>2501629.6199999996</v>
      </c>
      <c r="E8" s="254">
        <v>2268205.05</v>
      </c>
      <c r="F8" s="254">
        <v>2814086.55</v>
      </c>
      <c r="G8" s="255">
        <v>3077252.88</v>
      </c>
      <c r="H8" s="255">
        <v>2952936</v>
      </c>
      <c r="I8" s="255">
        <v>2937875.99</v>
      </c>
      <c r="J8" s="255">
        <v>3259115.76</v>
      </c>
      <c r="K8" s="729">
        <f>'Budget Worksheet'!L46</f>
        <v>4033750</v>
      </c>
      <c r="L8" s="256"/>
      <c r="M8" s="257">
        <v>69.5</v>
      </c>
      <c r="N8" s="729">
        <f>'Budget Worksheet'!M46</f>
        <v>3858652.8649999998</v>
      </c>
      <c r="O8" s="367">
        <v>59</v>
      </c>
      <c r="P8" s="368">
        <f aca="true" t="shared" si="0" ref="P8:P13">SUM(N8-K8)</f>
        <v>-175097.13500000024</v>
      </c>
      <c r="Q8" s="259" t="e">
        <v>#REF!</v>
      </c>
      <c r="R8" s="260"/>
      <c r="S8" s="244"/>
      <c r="T8" s="244"/>
      <c r="U8" s="244"/>
      <c r="V8" s="244"/>
      <c r="W8" s="244"/>
    </row>
    <row r="9" spans="1:23" ht="12.75">
      <c r="A9" s="261"/>
      <c r="B9" s="253" t="s">
        <v>339</v>
      </c>
      <c r="C9" s="225">
        <v>82000</v>
      </c>
      <c r="D9" s="226">
        <v>2038180</v>
      </c>
      <c r="E9" s="254">
        <v>1870809.25</v>
      </c>
      <c r="F9" s="254">
        <v>1933228.25</v>
      </c>
      <c r="G9" s="255">
        <v>1902183</v>
      </c>
      <c r="H9" s="255">
        <v>1829948</v>
      </c>
      <c r="I9" s="255">
        <v>1725571.7299999997</v>
      </c>
      <c r="J9" s="255">
        <v>1878628.7</v>
      </c>
      <c r="K9" s="729">
        <v>610752</v>
      </c>
      <c r="L9" s="256"/>
      <c r="M9" s="257">
        <v>33.5</v>
      </c>
      <c r="N9" s="729">
        <f>'Budget Worksheet'!M97</f>
        <v>619373.78</v>
      </c>
      <c r="O9" s="367">
        <v>35.5</v>
      </c>
      <c r="P9" s="380">
        <f t="shared" si="0"/>
        <v>8621.780000000028</v>
      </c>
      <c r="Q9" s="259" t="e">
        <v>#REF!</v>
      </c>
      <c r="R9" s="260"/>
      <c r="S9" s="244"/>
      <c r="T9" s="244"/>
      <c r="U9" s="244"/>
      <c r="V9" s="244"/>
      <c r="W9" s="244"/>
    </row>
    <row r="10" spans="1:23" ht="12.75">
      <c r="A10" s="261"/>
      <c r="B10" s="262" t="s">
        <v>340</v>
      </c>
      <c r="C10" s="225">
        <v>1723743</v>
      </c>
      <c r="D10" s="226">
        <v>1698819</v>
      </c>
      <c r="E10" s="254">
        <v>1842236</v>
      </c>
      <c r="F10" s="254">
        <v>1781900.95</v>
      </c>
      <c r="G10" s="255">
        <v>1740703</v>
      </c>
      <c r="H10" s="255">
        <v>1770513</v>
      </c>
      <c r="I10" s="255">
        <v>1867584.335</v>
      </c>
      <c r="J10" s="255">
        <v>1755542.77</v>
      </c>
      <c r="K10" s="729">
        <v>2554410</v>
      </c>
      <c r="L10" s="256"/>
      <c r="M10" s="257">
        <v>33.8</v>
      </c>
      <c r="N10" s="729">
        <f>'Budget Worksheet'!M150</f>
        <v>2892245.53</v>
      </c>
      <c r="O10" s="367">
        <v>31</v>
      </c>
      <c r="P10" s="368">
        <f t="shared" si="0"/>
        <v>337835.5299999998</v>
      </c>
      <c r="Q10" s="259" t="e">
        <v>#REF!</v>
      </c>
      <c r="R10" s="260"/>
      <c r="S10" s="244"/>
      <c r="T10" s="244"/>
      <c r="U10" s="244"/>
      <c r="V10" s="244"/>
      <c r="W10" s="244"/>
    </row>
    <row r="11" spans="1:23" ht="12.75">
      <c r="A11" s="261"/>
      <c r="B11" s="253" t="s">
        <v>341</v>
      </c>
      <c r="C11" s="225">
        <v>2183225</v>
      </c>
      <c r="D11" s="226">
        <v>2203704</v>
      </c>
      <c r="E11" s="254">
        <v>2168421</v>
      </c>
      <c r="F11" s="254">
        <v>2200448.1530054645</v>
      </c>
      <c r="G11" s="255">
        <v>2130035.27</v>
      </c>
      <c r="H11" s="255">
        <v>2198722</v>
      </c>
      <c r="I11" s="255">
        <v>2093546.86</v>
      </c>
      <c r="J11" s="255">
        <v>2155441.6100000003</v>
      </c>
      <c r="K11" s="729">
        <v>2750656</v>
      </c>
      <c r="L11" s="256"/>
      <c r="M11" s="257">
        <v>36</v>
      </c>
      <c r="N11" s="729">
        <f>'Budget Worksheet'!M221</f>
        <v>2885330</v>
      </c>
      <c r="O11" s="367">
        <v>36</v>
      </c>
      <c r="P11" s="368">
        <f t="shared" si="0"/>
        <v>134674</v>
      </c>
      <c r="Q11" s="259" t="e">
        <v>#REF!</v>
      </c>
      <c r="R11" s="263"/>
      <c r="S11" s="244"/>
      <c r="T11" s="244"/>
      <c r="U11" s="244"/>
      <c r="V11" s="244"/>
      <c r="W11" s="244"/>
    </row>
    <row r="12" spans="1:23" ht="12.75">
      <c r="A12" s="261"/>
      <c r="B12" s="262" t="s">
        <v>342</v>
      </c>
      <c r="C12" s="225">
        <v>532421</v>
      </c>
      <c r="D12" s="226">
        <v>451015</v>
      </c>
      <c r="E12" s="254">
        <v>460247</v>
      </c>
      <c r="F12" s="254">
        <v>560940</v>
      </c>
      <c r="G12" s="255">
        <v>571078.28</v>
      </c>
      <c r="H12" s="255">
        <v>414506</v>
      </c>
      <c r="I12" s="255">
        <v>491708.26</v>
      </c>
      <c r="J12" s="255">
        <v>400127.26</v>
      </c>
      <c r="K12" s="729">
        <v>325335</v>
      </c>
      <c r="L12" s="256"/>
      <c r="M12" s="257">
        <v>5</v>
      </c>
      <c r="N12" s="729">
        <f>'Budget Worksheet'!M288</f>
        <v>403130</v>
      </c>
      <c r="O12" s="367">
        <v>5.5</v>
      </c>
      <c r="P12" s="368">
        <f t="shared" si="0"/>
        <v>77795</v>
      </c>
      <c r="Q12" s="259" t="e">
        <v>#REF!</v>
      </c>
      <c r="R12" s="264"/>
      <c r="S12" s="244"/>
      <c r="T12" s="244"/>
      <c r="U12" s="244"/>
      <c r="V12" s="244"/>
      <c r="W12" s="244"/>
    </row>
    <row r="13" spans="1:23" ht="12.75">
      <c r="A13" s="261"/>
      <c r="B13" s="265" t="s">
        <v>343</v>
      </c>
      <c r="C13" s="225">
        <v>1172589</v>
      </c>
      <c r="D13" s="226">
        <v>1180727</v>
      </c>
      <c r="E13" s="254">
        <v>905455</v>
      </c>
      <c r="F13" s="254">
        <v>855300</v>
      </c>
      <c r="G13" s="255">
        <v>915150</v>
      </c>
      <c r="H13" s="255">
        <v>955650</v>
      </c>
      <c r="I13" s="255">
        <v>953715</v>
      </c>
      <c r="J13" s="255">
        <v>1041035.3999999999</v>
      </c>
      <c r="K13" s="729">
        <v>1001429</v>
      </c>
      <c r="L13" s="256"/>
      <c r="M13" s="257">
        <v>3</v>
      </c>
      <c r="N13" s="729">
        <f>'Budget Worksheet'!M333</f>
        <v>978660</v>
      </c>
      <c r="O13" s="367">
        <v>3.5</v>
      </c>
      <c r="P13" s="380">
        <f t="shared" si="0"/>
        <v>-22769</v>
      </c>
      <c r="Q13" s="259" t="e">
        <v>#REF!</v>
      </c>
      <c r="R13" s="260"/>
      <c r="S13" s="244"/>
      <c r="T13" s="244"/>
      <c r="U13" s="244"/>
      <c r="V13" s="244"/>
      <c r="W13" s="244"/>
    </row>
    <row r="14" spans="1:23" ht="12.75">
      <c r="A14" s="261"/>
      <c r="B14" s="266" t="s">
        <v>265</v>
      </c>
      <c r="C14" s="267">
        <v>29191</v>
      </c>
      <c r="D14" s="226">
        <v>50000</v>
      </c>
      <c r="E14" s="254"/>
      <c r="F14" s="254"/>
      <c r="G14" s="255"/>
      <c r="H14" s="255"/>
      <c r="I14" s="255"/>
      <c r="J14" s="255"/>
      <c r="K14" s="730">
        <v>-1103186</v>
      </c>
      <c r="L14" s="256"/>
      <c r="M14" s="268"/>
      <c r="N14" s="813">
        <v>-1351051</v>
      </c>
      <c r="O14" s="268"/>
      <c r="P14" s="258"/>
      <c r="Q14" s="259" t="e">
        <v>#REF!</v>
      </c>
      <c r="R14" s="260"/>
      <c r="S14" s="244"/>
      <c r="T14" s="244"/>
      <c r="U14" s="244"/>
      <c r="V14" s="244"/>
      <c r="W14" s="244"/>
    </row>
    <row r="15" spans="1:31" ht="12.75">
      <c r="A15" s="269"/>
      <c r="B15" s="270" t="s">
        <v>344</v>
      </c>
      <c r="C15" s="271">
        <v>25528</v>
      </c>
      <c r="D15" s="272"/>
      <c r="E15" s="273"/>
      <c r="F15" s="273"/>
      <c r="G15" s="274"/>
      <c r="H15" s="274"/>
      <c r="I15" s="274"/>
      <c r="J15" s="274"/>
      <c r="K15" s="275"/>
      <c r="L15" s="276"/>
      <c r="M15" s="277"/>
      <c r="N15" s="373"/>
      <c r="O15" s="374"/>
      <c r="P15" s="375"/>
      <c r="Q15" s="278"/>
      <c r="R15" s="260"/>
      <c r="S15" s="244"/>
      <c r="T15" s="244"/>
      <c r="U15" s="244"/>
      <c r="V15" s="244"/>
      <c r="W15" s="244"/>
      <c r="X15" s="279"/>
      <c r="Y15" s="279"/>
      <c r="Z15" s="279"/>
      <c r="AA15" s="279"/>
      <c r="AB15" s="279"/>
      <c r="AC15" s="279"/>
      <c r="AD15" s="279"/>
      <c r="AE15" s="279"/>
    </row>
    <row r="16" spans="1:31" ht="12.75">
      <c r="A16" s="269"/>
      <c r="B16" s="280" t="s">
        <v>345</v>
      </c>
      <c r="C16" s="281"/>
      <c r="D16" s="282">
        <v>10490099.62</v>
      </c>
      <c r="E16" s="283">
        <v>9916666.9</v>
      </c>
      <c r="F16" s="283">
        <v>10518859.328005465</v>
      </c>
      <c r="G16" s="283">
        <v>10734276.14875</v>
      </c>
      <c r="H16" s="283">
        <v>10537630</v>
      </c>
      <c r="I16" s="283">
        <v>10477829.975</v>
      </c>
      <c r="J16" s="283">
        <v>10850297.228333335</v>
      </c>
      <c r="K16" s="283">
        <f>SUM(K7:K15)</f>
        <v>10575037.5555</v>
      </c>
      <c r="L16" s="284"/>
      <c r="M16" s="285">
        <v>186.8</v>
      </c>
      <c r="N16" s="377">
        <f>SUM(N7:N15)</f>
        <v>10682249.175</v>
      </c>
      <c r="O16" s="376">
        <v>176.5</v>
      </c>
      <c r="P16" s="395">
        <f>SUM(N16-K16)</f>
        <v>107211.61950000003</v>
      </c>
      <c r="Q16" s="286" t="e">
        <v>#REF!</v>
      </c>
      <c r="R16" s="287"/>
      <c r="S16" s="244"/>
      <c r="T16" s="244"/>
      <c r="U16" s="244"/>
      <c r="V16" s="244"/>
      <c r="W16" s="244"/>
      <c r="X16" s="279"/>
      <c r="Y16" s="279"/>
      <c r="Z16" s="279"/>
      <c r="AA16" s="279"/>
      <c r="AB16" s="279"/>
      <c r="AC16" s="279"/>
      <c r="AD16" s="279"/>
      <c r="AE16" s="279"/>
    </row>
    <row r="17" spans="1:31" ht="12.75">
      <c r="A17" s="269"/>
      <c r="B17" s="288"/>
      <c r="C17" s="267"/>
      <c r="D17" s="226"/>
      <c r="E17" s="289"/>
      <c r="F17" s="289"/>
      <c r="G17" s="289"/>
      <c r="H17" s="289"/>
      <c r="I17" s="289"/>
      <c r="J17" s="289"/>
      <c r="K17" s="289"/>
      <c r="L17" s="290"/>
      <c r="M17" s="291"/>
      <c r="N17" s="378"/>
      <c r="O17" s="291"/>
      <c r="P17" s="292">
        <v>0</v>
      </c>
      <c r="Q17" s="293"/>
      <c r="R17" s="260"/>
      <c r="S17" s="244"/>
      <c r="T17" s="244"/>
      <c r="U17" s="244"/>
      <c r="V17" s="244"/>
      <c r="W17" s="244"/>
      <c r="X17" s="279"/>
      <c r="Y17" s="279"/>
      <c r="Z17" s="279"/>
      <c r="AA17" s="279"/>
      <c r="AB17" s="279"/>
      <c r="AC17" s="279"/>
      <c r="AD17" s="279"/>
      <c r="AE17" s="279"/>
    </row>
    <row r="18" spans="1:31" ht="12.75">
      <c r="A18" s="269"/>
      <c r="B18" s="294" t="s">
        <v>346</v>
      </c>
      <c r="C18" s="295"/>
      <c r="D18" s="295"/>
      <c r="E18" s="296"/>
      <c r="F18" s="296"/>
      <c r="G18" s="296"/>
      <c r="H18" s="296">
        <v>2518505</v>
      </c>
      <c r="I18" s="296">
        <v>2547334</v>
      </c>
      <c r="J18" s="296">
        <v>2659641</v>
      </c>
      <c r="K18" s="296">
        <v>3424575</v>
      </c>
      <c r="L18" s="297"/>
      <c r="M18" s="291"/>
      <c r="N18" s="664">
        <v>3424575</v>
      </c>
      <c r="O18" s="291"/>
      <c r="P18" s="396">
        <f>SUM(N18-K18)</f>
        <v>0</v>
      </c>
      <c r="Q18" s="298"/>
      <c r="R18" s="260"/>
      <c r="S18" s="244"/>
      <c r="T18" s="244"/>
      <c r="U18" s="244"/>
      <c r="V18" s="244"/>
      <c r="W18" s="244"/>
      <c r="X18" s="279"/>
      <c r="Y18" s="279"/>
      <c r="Z18" s="279"/>
      <c r="AA18" s="279"/>
      <c r="AB18" s="279"/>
      <c r="AC18" s="279"/>
      <c r="AD18" s="279"/>
      <c r="AE18" s="279"/>
    </row>
    <row r="19" spans="1:31" ht="12.75">
      <c r="A19" s="269"/>
      <c r="B19" s="288"/>
      <c r="C19" s="299"/>
      <c r="D19" s="289"/>
      <c r="E19" s="289"/>
      <c r="F19" s="289"/>
      <c r="G19" s="289"/>
      <c r="H19" s="289"/>
      <c r="I19" s="289"/>
      <c r="J19" s="289"/>
      <c r="K19" s="289"/>
      <c r="L19" s="300"/>
      <c r="M19" s="291"/>
      <c r="N19" s="256"/>
      <c r="O19" s="291"/>
      <c r="P19" s="258">
        <v>0</v>
      </c>
      <c r="Q19" s="298"/>
      <c r="R19" s="260"/>
      <c r="S19" s="244"/>
      <c r="T19" s="244"/>
      <c r="U19" s="244"/>
      <c r="V19" s="244"/>
      <c r="W19" s="244"/>
      <c r="X19" s="279"/>
      <c r="Y19" s="279"/>
      <c r="Z19" s="279"/>
      <c r="AA19" s="279"/>
      <c r="AB19" s="279"/>
      <c r="AC19" s="279"/>
      <c r="AD19" s="279"/>
      <c r="AE19" s="279"/>
    </row>
    <row r="20" spans="1:31" ht="12.75">
      <c r="A20" s="269"/>
      <c r="B20" s="288" t="s">
        <v>347</v>
      </c>
      <c r="C20" s="299"/>
      <c r="D20" s="296"/>
      <c r="E20" s="296"/>
      <c r="F20" s="296"/>
      <c r="G20" s="296"/>
      <c r="H20" s="296">
        <v>13056134.83</v>
      </c>
      <c r="I20" s="296">
        <v>13025163.975</v>
      </c>
      <c r="J20" s="296">
        <v>13509938.228333335</v>
      </c>
      <c r="K20" s="296">
        <f>SUM(K18,K24,K26)</f>
        <v>13999612.5555</v>
      </c>
      <c r="L20" s="297"/>
      <c r="M20" s="291"/>
      <c r="N20" s="371">
        <f>SUM(N18,N24,N26)</f>
        <v>14282325.825</v>
      </c>
      <c r="O20" s="291"/>
      <c r="P20" s="396">
        <f>SUM(N20-K20)</f>
        <v>282713.26949999854</v>
      </c>
      <c r="Q20" s="298"/>
      <c r="R20" s="260"/>
      <c r="S20" s="244"/>
      <c r="T20" s="244"/>
      <c r="U20" s="244"/>
      <c r="V20" s="244"/>
      <c r="W20" s="244"/>
      <c r="X20" s="279"/>
      <c r="Y20" s="279"/>
      <c r="Z20" s="279"/>
      <c r="AA20" s="279"/>
      <c r="AB20" s="279"/>
      <c r="AC20" s="279"/>
      <c r="AD20" s="279"/>
      <c r="AE20" s="279"/>
    </row>
    <row r="21" spans="1:31" ht="12.75">
      <c r="A21" s="269"/>
      <c r="B21" s="288"/>
      <c r="C21" s="299"/>
      <c r="D21" s="289"/>
      <c r="E21" s="289"/>
      <c r="F21" s="289"/>
      <c r="G21" s="289"/>
      <c r="H21" s="289"/>
      <c r="I21" s="289"/>
      <c r="J21" s="289"/>
      <c r="K21" s="289"/>
      <c r="L21" s="300"/>
      <c r="M21" s="291"/>
      <c r="N21" s="256"/>
      <c r="O21" s="291"/>
      <c r="P21" s="258"/>
      <c r="Q21" s="298"/>
      <c r="R21" s="260"/>
      <c r="S21" s="244"/>
      <c r="T21" s="244"/>
      <c r="U21" s="244"/>
      <c r="V21" s="244"/>
      <c r="W21" s="244"/>
      <c r="X21" s="279"/>
      <c r="Y21" s="279"/>
      <c r="Z21" s="279"/>
      <c r="AA21" s="279"/>
      <c r="AB21" s="279"/>
      <c r="AC21" s="279"/>
      <c r="AD21" s="279"/>
      <c r="AE21" s="279"/>
    </row>
    <row r="22" spans="1:31" ht="12.75">
      <c r="A22" s="269"/>
      <c r="B22" s="301" t="s">
        <v>348</v>
      </c>
      <c r="C22" s="226"/>
      <c r="D22" s="302"/>
      <c r="E22" s="302"/>
      <c r="F22" s="302"/>
      <c r="G22" s="302"/>
      <c r="H22" s="302"/>
      <c r="I22" s="302"/>
      <c r="J22" s="302">
        <v>12886974</v>
      </c>
      <c r="K22" s="302">
        <v>13288014</v>
      </c>
      <c r="L22" s="303"/>
      <c r="M22" s="304"/>
      <c r="N22" s="398">
        <v>13493657</v>
      </c>
      <c r="O22" s="304"/>
      <c r="P22" s="396">
        <f>SUM(N22-K22)</f>
        <v>205643</v>
      </c>
      <c r="Q22" s="305"/>
      <c r="R22" s="260"/>
      <c r="S22" s="244"/>
      <c r="T22" s="243"/>
      <c r="U22" s="244"/>
      <c r="V22" s="244"/>
      <c r="W22" s="244"/>
      <c r="X22" s="279"/>
      <c r="Y22" s="279"/>
      <c r="Z22" s="279"/>
      <c r="AA22" s="279"/>
      <c r="AB22" s="279"/>
      <c r="AC22" s="279"/>
      <c r="AD22" s="279"/>
      <c r="AE22" s="279"/>
    </row>
    <row r="23" spans="1:31" ht="11.25" customHeight="1">
      <c r="A23" s="269"/>
      <c r="B23" s="288"/>
      <c r="C23" s="299"/>
      <c r="D23" s="226"/>
      <c r="E23" s="289"/>
      <c r="F23" s="289"/>
      <c r="G23" s="289"/>
      <c r="H23" s="289"/>
      <c r="I23" s="289"/>
      <c r="J23" s="289"/>
      <c r="K23" s="289"/>
      <c r="L23" s="300"/>
      <c r="M23" s="291"/>
      <c r="N23" s="256"/>
      <c r="O23" s="291"/>
      <c r="P23" s="258">
        <v>0</v>
      </c>
      <c r="Q23" s="298"/>
      <c r="R23" s="260"/>
      <c r="S23" s="244"/>
      <c r="T23" s="244"/>
      <c r="U23" s="244"/>
      <c r="V23" s="244"/>
      <c r="W23" s="244"/>
      <c r="X23" s="279"/>
      <c r="Y23" s="279"/>
      <c r="Z23" s="279"/>
      <c r="AA23" s="279"/>
      <c r="AB23" s="279"/>
      <c r="AC23" s="279"/>
      <c r="AD23" s="279"/>
      <c r="AE23" s="279"/>
    </row>
    <row r="24" spans="1:31" ht="12.75">
      <c r="A24" s="269"/>
      <c r="B24" s="306" t="s">
        <v>349</v>
      </c>
      <c r="C24" s="307"/>
      <c r="D24" s="308"/>
      <c r="E24" s="302"/>
      <c r="F24" s="302"/>
      <c r="G24" s="302"/>
      <c r="H24" s="302"/>
      <c r="I24" s="302">
        <v>0</v>
      </c>
      <c r="J24" s="309">
        <v>-30000.22833333537</v>
      </c>
      <c r="K24" s="309">
        <f>SUM(K16-K26)</f>
        <v>-194962.44449999928</v>
      </c>
      <c r="L24" s="310"/>
      <c r="M24" s="311"/>
      <c r="N24" s="309">
        <f>SUM(N26-N16)</f>
        <v>87750.82499999925</v>
      </c>
      <c r="O24" s="311"/>
      <c r="P24" s="397">
        <f>SUM(-K24,N24)</f>
        <v>282713.26949999854</v>
      </c>
      <c r="Q24" s="305"/>
      <c r="R24" s="260"/>
      <c r="S24" s="312"/>
      <c r="T24" s="244"/>
      <c r="U24" s="244"/>
      <c r="V24" s="244"/>
      <c r="W24" s="244"/>
      <c r="X24" s="279"/>
      <c r="Y24" s="279"/>
      <c r="Z24" s="279"/>
      <c r="AA24" s="279"/>
      <c r="AB24" s="279"/>
      <c r="AC24" s="279"/>
      <c r="AD24" s="279"/>
      <c r="AE24" s="279"/>
    </row>
    <row r="25" spans="1:31" ht="9.75" customHeight="1">
      <c r="A25" s="269"/>
      <c r="B25" s="288"/>
      <c r="C25" s="299"/>
      <c r="D25" s="226"/>
      <c r="E25" s="289"/>
      <c r="F25" s="289"/>
      <c r="G25" s="289"/>
      <c r="H25" s="289"/>
      <c r="I25" s="289"/>
      <c r="J25" s="289"/>
      <c r="K25" s="289"/>
      <c r="L25" s="300"/>
      <c r="M25" s="291"/>
      <c r="N25" s="256"/>
      <c r="O25" s="291"/>
      <c r="P25" s="258">
        <v>0</v>
      </c>
      <c r="Q25" s="298"/>
      <c r="R25" s="260"/>
      <c r="S25" s="244"/>
      <c r="T25" s="244"/>
      <c r="U25" s="244"/>
      <c r="V25" s="244"/>
      <c r="W25" s="244"/>
      <c r="X25" s="279"/>
      <c r="Y25" s="279"/>
      <c r="Z25" s="279"/>
      <c r="AA25" s="279"/>
      <c r="AB25" s="279"/>
      <c r="AC25" s="279"/>
      <c r="AD25" s="279"/>
      <c r="AE25" s="279"/>
    </row>
    <row r="26" spans="1:31" ht="14.25" customHeight="1">
      <c r="A26" s="269"/>
      <c r="B26" s="306" t="s">
        <v>350</v>
      </c>
      <c r="C26" s="307"/>
      <c r="D26" s="308"/>
      <c r="E26" s="309"/>
      <c r="F26" s="309"/>
      <c r="G26" s="309"/>
      <c r="H26" s="309">
        <v>10537630</v>
      </c>
      <c r="I26" s="309">
        <v>10477630</v>
      </c>
      <c r="J26" s="309">
        <v>10820297</v>
      </c>
      <c r="K26" s="309">
        <v>10770000</v>
      </c>
      <c r="L26" s="300"/>
      <c r="M26" s="304"/>
      <c r="N26" s="372">
        <v>10770000</v>
      </c>
      <c r="O26" s="304"/>
      <c r="P26" s="396">
        <v>0</v>
      </c>
      <c r="Q26" s="305"/>
      <c r="R26" s="260"/>
      <c r="S26" s="244"/>
      <c r="T26" s="244"/>
      <c r="U26" s="244"/>
      <c r="V26" s="244"/>
      <c r="W26" s="244"/>
      <c r="X26" s="279"/>
      <c r="Y26" s="279"/>
      <c r="Z26" s="279"/>
      <c r="AA26" s="279"/>
      <c r="AB26" s="279"/>
      <c r="AC26" s="279"/>
      <c r="AD26" s="279"/>
      <c r="AE26" s="279"/>
    </row>
    <row r="27" spans="1:31" ht="14.25" customHeight="1">
      <c r="A27" s="269"/>
      <c r="B27" s="306"/>
      <c r="C27" s="226"/>
      <c r="D27" s="313"/>
      <c r="E27" s="314"/>
      <c r="F27" s="314"/>
      <c r="G27" s="314"/>
      <c r="H27" s="314"/>
      <c r="I27" s="314"/>
      <c r="J27" s="314"/>
      <c r="K27" s="314"/>
      <c r="L27" s="300"/>
      <c r="M27" s="304"/>
      <c r="N27" s="370"/>
      <c r="O27" s="304"/>
      <c r="P27" s="258">
        <v>0</v>
      </c>
      <c r="Q27" s="305"/>
      <c r="R27" s="260"/>
      <c r="S27" s="244"/>
      <c r="T27" s="244"/>
      <c r="U27" s="244"/>
      <c r="V27" s="244"/>
      <c r="W27" s="244"/>
      <c r="X27" s="279"/>
      <c r="Y27" s="279"/>
      <c r="Z27" s="279"/>
      <c r="AA27" s="279"/>
      <c r="AB27" s="279"/>
      <c r="AC27" s="279"/>
      <c r="AD27" s="279"/>
      <c r="AE27" s="279"/>
    </row>
    <row r="28" spans="1:31" ht="12.75">
      <c r="A28" s="269"/>
      <c r="B28" s="288" t="s">
        <v>351</v>
      </c>
      <c r="C28" s="295"/>
      <c r="D28" s="295"/>
      <c r="E28" s="309"/>
      <c r="F28" s="309"/>
      <c r="G28" s="309"/>
      <c r="H28" s="309">
        <v>167851</v>
      </c>
      <c r="I28" s="309">
        <v>209923.975</v>
      </c>
      <c r="J28" s="309">
        <v>592964</v>
      </c>
      <c r="K28" s="309">
        <f>SUM(K20-K22)</f>
        <v>711598.5555000007</v>
      </c>
      <c r="L28" s="310"/>
      <c r="M28" s="315"/>
      <c r="N28" s="309">
        <f>SUM(N20-N22)</f>
        <v>788668.8249999993</v>
      </c>
      <c r="O28" s="315"/>
      <c r="P28" s="396">
        <f>SUM(N28-K28)</f>
        <v>77070.26949999854</v>
      </c>
      <c r="Q28" s="305"/>
      <c r="R28" s="260"/>
      <c r="S28" s="244"/>
      <c r="T28" s="244"/>
      <c r="U28" s="244"/>
      <c r="V28" s="244"/>
      <c r="W28" s="244"/>
      <c r="X28" s="279"/>
      <c r="Y28" s="279"/>
      <c r="Z28" s="279"/>
      <c r="AA28" s="279"/>
      <c r="AB28" s="279"/>
      <c r="AC28" s="279"/>
      <c r="AD28" s="279"/>
      <c r="AE28" s="279"/>
    </row>
    <row r="29" spans="1:31" ht="14.25" customHeight="1" hidden="1" thickBot="1">
      <c r="A29" s="269"/>
      <c r="B29" s="306" t="s">
        <v>352</v>
      </c>
      <c r="C29" s="226"/>
      <c r="D29" s="313"/>
      <c r="E29" s="314"/>
      <c r="F29" s="314"/>
      <c r="G29" s="314"/>
      <c r="H29" s="313"/>
      <c r="I29" s="314">
        <v>9612.504587155963</v>
      </c>
      <c r="J29" s="314">
        <v>10217.466477809254</v>
      </c>
      <c r="K29" s="316">
        <v>11085.83247156153</v>
      </c>
      <c r="L29" s="290"/>
      <c r="M29" s="304"/>
      <c r="N29" s="369"/>
      <c r="O29" s="304"/>
      <c r="P29" s="258">
        <v>-10217.466477809254</v>
      </c>
      <c r="Q29" s="305"/>
      <c r="R29" s="317"/>
      <c r="S29" s="244"/>
      <c r="T29" s="279"/>
      <c r="U29" s="279"/>
      <c r="V29" s="279"/>
      <c r="W29" s="244"/>
      <c r="X29" s="279"/>
      <c r="Y29" s="279"/>
      <c r="Z29" s="279"/>
      <c r="AA29" s="279"/>
      <c r="AB29" s="279"/>
      <c r="AC29" s="279"/>
      <c r="AD29" s="279"/>
      <c r="AE29" s="279"/>
    </row>
    <row r="30" spans="1:20" ht="12.75" hidden="1">
      <c r="A30" s="269"/>
      <c r="B30" s="318"/>
      <c r="C30" s="319"/>
      <c r="D30" s="320"/>
      <c r="E30" s="321"/>
      <c r="F30" s="321"/>
      <c r="G30" s="321"/>
      <c r="H30" s="321"/>
      <c r="I30" s="322"/>
      <c r="J30" s="322"/>
      <c r="K30" s="323"/>
      <c r="L30" s="324"/>
      <c r="M30" s="325"/>
      <c r="N30" s="323"/>
      <c r="O30" s="325"/>
      <c r="P30" s="258">
        <v>0</v>
      </c>
      <c r="Q30" s="326"/>
      <c r="R30" s="260"/>
      <c r="T30" s="243"/>
    </row>
    <row r="31" spans="1:19" s="279" customFormat="1" ht="13.5" thickBot="1">
      <c r="A31" s="269"/>
      <c r="B31" s="327"/>
      <c r="C31" s="328"/>
      <c r="D31" s="329"/>
      <c r="E31" s="330"/>
      <c r="F31" s="330"/>
      <c r="G31" s="330"/>
      <c r="H31" s="330"/>
      <c r="I31" s="331"/>
      <c r="J31" s="331"/>
      <c r="K31" s="332"/>
      <c r="L31" s="333"/>
      <c r="M31" s="334"/>
      <c r="N31" s="332"/>
      <c r="O31" s="334"/>
      <c r="P31" s="335"/>
      <c r="Q31" s="336"/>
      <c r="R31" s="337"/>
      <c r="S31" s="244"/>
    </row>
    <row r="32" spans="1:19" s="279" customFormat="1" ht="12.75">
      <c r="A32" s="269"/>
      <c r="B32" s="338"/>
      <c r="C32" s="339"/>
      <c r="D32" s="340"/>
      <c r="E32" s="341"/>
      <c r="F32" s="342"/>
      <c r="G32" s="342"/>
      <c r="H32" s="342"/>
      <c r="I32" s="342"/>
      <c r="J32" s="342"/>
      <c r="L32" s="343"/>
      <c r="M32" s="344"/>
      <c r="O32" s="345"/>
      <c r="P32" s="340"/>
      <c r="Q32" s="228"/>
      <c r="R32" s="228"/>
      <c r="S32" s="244"/>
    </row>
    <row r="33" spans="1:20" s="279" customFormat="1" ht="12.75">
      <c r="A33" s="269"/>
      <c r="B33" s="338"/>
      <c r="C33" s="339"/>
      <c r="D33" s="340"/>
      <c r="E33" s="341"/>
      <c r="F33" s="340"/>
      <c r="G33" s="340"/>
      <c r="H33" s="340"/>
      <c r="I33" s="340"/>
      <c r="J33" s="340"/>
      <c r="N33" s="346"/>
      <c r="P33" s="340"/>
      <c r="Q33" s="228"/>
      <c r="R33" s="228"/>
      <c r="S33" s="244"/>
      <c r="T33" s="347"/>
    </row>
    <row r="34" spans="1:20" s="279" customFormat="1" ht="12.75">
      <c r="A34" s="269"/>
      <c r="B34" s="338"/>
      <c r="C34" s="339"/>
      <c r="D34" s="340"/>
      <c r="E34" s="341"/>
      <c r="F34" s="340"/>
      <c r="G34" s="340"/>
      <c r="H34" s="340"/>
      <c r="I34" s="340"/>
      <c r="J34" s="340"/>
      <c r="P34" s="340"/>
      <c r="Q34" s="228"/>
      <c r="R34" s="228"/>
      <c r="S34" s="244"/>
      <c r="T34" s="340"/>
    </row>
    <row r="35" spans="1:19" s="279" customFormat="1" ht="12.75">
      <c r="A35" s="269"/>
      <c r="B35" s="338"/>
      <c r="C35" s="339"/>
      <c r="D35" s="340"/>
      <c r="F35" s="340"/>
      <c r="G35" s="340"/>
      <c r="H35" s="340"/>
      <c r="I35" s="340"/>
      <c r="J35" s="340"/>
      <c r="P35" s="340"/>
      <c r="Q35" s="348"/>
      <c r="R35" s="228"/>
      <c r="S35" s="244"/>
    </row>
    <row r="36" spans="1:19" s="279" customFormat="1" ht="12.75">
      <c r="A36" s="269"/>
      <c r="B36" s="338"/>
      <c r="C36" s="339"/>
      <c r="D36" s="340"/>
      <c r="K36" s="340"/>
      <c r="L36" s="340"/>
      <c r="M36" s="339"/>
      <c r="N36" s="340"/>
      <c r="O36" s="339"/>
      <c r="P36" s="340"/>
      <c r="Q36" s="348"/>
      <c r="R36" s="349"/>
      <c r="S36" s="244"/>
    </row>
    <row r="37" spans="1:19" s="279" customFormat="1" ht="12.75">
      <c r="A37" s="269"/>
      <c r="B37" s="338"/>
      <c r="C37" s="339"/>
      <c r="D37" s="340"/>
      <c r="F37" s="340"/>
      <c r="G37" s="340"/>
      <c r="H37" s="340"/>
      <c r="I37" s="340"/>
      <c r="J37" s="340"/>
      <c r="K37" s="350"/>
      <c r="L37" s="350"/>
      <c r="M37" s="339"/>
      <c r="N37" s="350"/>
      <c r="O37" s="339"/>
      <c r="P37" s="340"/>
      <c r="Q37" s="348"/>
      <c r="R37" s="228"/>
      <c r="S37" s="244"/>
    </row>
    <row r="38" spans="1:19" s="279" customFormat="1" ht="12.75">
      <c r="A38" s="269"/>
      <c r="B38" s="338"/>
      <c r="C38" s="339"/>
      <c r="D38" s="340"/>
      <c r="F38" s="340"/>
      <c r="G38" s="340"/>
      <c r="H38" s="340"/>
      <c r="I38" s="340"/>
      <c r="J38" s="340"/>
      <c r="K38" s="340"/>
      <c r="L38" s="340"/>
      <c r="M38" s="339"/>
      <c r="N38" s="340"/>
      <c r="O38" s="339"/>
      <c r="P38" s="350"/>
      <c r="Q38" s="348"/>
      <c r="R38" s="228"/>
      <c r="S38" s="244"/>
    </row>
    <row r="39" spans="1:19" s="279" customFormat="1" ht="12.75">
      <c r="A39" s="269"/>
      <c r="F39" s="340"/>
      <c r="G39" s="340"/>
      <c r="H39" s="340"/>
      <c r="I39" s="340"/>
      <c r="J39" s="340"/>
      <c r="K39" s="350"/>
      <c r="L39" s="350"/>
      <c r="M39" s="339"/>
      <c r="N39" s="350"/>
      <c r="O39" s="339"/>
      <c r="P39" s="340"/>
      <c r="Q39" s="348"/>
      <c r="R39" s="228"/>
      <c r="S39" s="244"/>
    </row>
    <row r="40" spans="1:19" s="279" customFormat="1" ht="12.75">
      <c r="A40" s="269"/>
      <c r="B40" s="338"/>
      <c r="C40" s="339"/>
      <c r="D40" s="340"/>
      <c r="F40" s="340"/>
      <c r="G40" s="340"/>
      <c r="H40" s="340"/>
      <c r="I40" s="340"/>
      <c r="J40" s="340"/>
      <c r="K40" s="350"/>
      <c r="L40" s="350"/>
      <c r="M40" s="339"/>
      <c r="N40" s="350"/>
      <c r="O40" s="339"/>
      <c r="P40" s="340"/>
      <c r="Q40" s="348"/>
      <c r="R40" s="228"/>
      <c r="S40" s="244"/>
    </row>
    <row r="41" spans="1:19" s="279" customFormat="1" ht="12.75">
      <c r="A41" s="269"/>
      <c r="B41" s="351"/>
      <c r="D41" s="340"/>
      <c r="E41" s="340"/>
      <c r="K41" s="350"/>
      <c r="L41" s="350"/>
      <c r="M41" s="339"/>
      <c r="N41" s="350"/>
      <c r="O41" s="339"/>
      <c r="P41" s="340"/>
      <c r="Q41" s="348"/>
      <c r="R41" s="228"/>
      <c r="S41" s="244"/>
    </row>
    <row r="42" spans="1:19" s="279" customFormat="1" ht="12.75">
      <c r="A42" s="269"/>
      <c r="B42" s="351"/>
      <c r="D42" s="340"/>
      <c r="E42" s="340"/>
      <c r="K42" s="350"/>
      <c r="L42" s="350"/>
      <c r="M42" s="339"/>
      <c r="N42" s="350"/>
      <c r="O42" s="339"/>
      <c r="P42" s="340"/>
      <c r="Q42" s="348"/>
      <c r="R42" s="228"/>
      <c r="S42" s="244"/>
    </row>
    <row r="43" spans="1:19" s="279" customFormat="1" ht="12.75">
      <c r="A43" s="269"/>
      <c r="B43" s="338"/>
      <c r="D43" s="340"/>
      <c r="E43" s="340"/>
      <c r="Q43" s="348"/>
      <c r="R43" s="228"/>
      <c r="S43" s="244"/>
    </row>
    <row r="44" spans="1:19" s="279" customFormat="1" ht="12.75">
      <c r="A44" s="269"/>
      <c r="Q44" s="348"/>
      <c r="R44" s="228"/>
      <c r="S44" s="244"/>
    </row>
    <row r="45" spans="1:19" s="279" customFormat="1" ht="12.75">
      <c r="A45" s="269"/>
      <c r="Q45" s="348"/>
      <c r="R45" s="352"/>
      <c r="S45" s="244"/>
    </row>
    <row r="46" spans="1:19" s="279" customFormat="1" ht="12.75">
      <c r="A46" s="269"/>
      <c r="K46" s="350"/>
      <c r="L46" s="350"/>
      <c r="M46" s="339"/>
      <c r="N46" s="350"/>
      <c r="O46" s="339"/>
      <c r="P46" s="340"/>
      <c r="Q46" s="348"/>
      <c r="R46" s="352"/>
      <c r="S46" s="244"/>
    </row>
    <row r="47" spans="1:19" s="279" customFormat="1" ht="12.75">
      <c r="A47" s="269"/>
      <c r="K47" s="350"/>
      <c r="L47" s="350"/>
      <c r="M47" s="339"/>
      <c r="N47" s="350"/>
      <c r="O47" s="339"/>
      <c r="P47" s="340"/>
      <c r="Q47" s="348"/>
      <c r="R47" s="228"/>
      <c r="S47" s="244"/>
    </row>
    <row r="48" spans="1:19" s="279" customFormat="1" ht="12.75">
      <c r="A48" s="269"/>
      <c r="B48" s="338"/>
      <c r="K48" s="350"/>
      <c r="L48" s="350"/>
      <c r="M48" s="339"/>
      <c r="N48" s="350"/>
      <c r="O48" s="339"/>
      <c r="P48" s="340"/>
      <c r="Q48" s="348"/>
      <c r="R48" s="228"/>
      <c r="S48" s="244"/>
    </row>
    <row r="49" spans="1:19" s="279" customFormat="1" ht="12.75">
      <c r="A49" s="269"/>
      <c r="K49" s="350"/>
      <c r="L49" s="350"/>
      <c r="N49" s="350"/>
      <c r="P49" s="340"/>
      <c r="Q49" s="228"/>
      <c r="R49" s="352"/>
      <c r="S49" s="244"/>
    </row>
    <row r="50" spans="17:19" s="279" customFormat="1" ht="12.75">
      <c r="Q50" s="228"/>
      <c r="R50" s="228"/>
      <c r="S50" s="244"/>
    </row>
    <row r="51" spans="2:19" s="279" customFormat="1" ht="12.75">
      <c r="B51" s="338"/>
      <c r="C51" s="339"/>
      <c r="D51" s="340"/>
      <c r="F51" s="340"/>
      <c r="G51" s="340"/>
      <c r="H51" s="340"/>
      <c r="I51" s="340"/>
      <c r="J51" s="340"/>
      <c r="K51" s="353"/>
      <c r="L51" s="353"/>
      <c r="M51" s="339"/>
      <c r="N51" s="353"/>
      <c r="O51" s="339"/>
      <c r="P51" s="340"/>
      <c r="Q51" s="348"/>
      <c r="R51" s="228"/>
      <c r="S51" s="244"/>
    </row>
    <row r="52" spans="2:19" s="279" customFormat="1" ht="12.75">
      <c r="B52" s="338"/>
      <c r="C52" s="339"/>
      <c r="D52" s="340"/>
      <c r="F52" s="340"/>
      <c r="G52" s="340"/>
      <c r="H52" s="340"/>
      <c r="I52" s="340"/>
      <c r="J52" s="340"/>
      <c r="K52" s="353"/>
      <c r="L52" s="353"/>
      <c r="M52" s="340"/>
      <c r="N52" s="353"/>
      <c r="O52" s="340"/>
      <c r="P52" s="353"/>
      <c r="Q52" s="348"/>
      <c r="R52" s="354"/>
      <c r="S52" s="244"/>
    </row>
    <row r="53" spans="3:19" s="279" customFormat="1" ht="12.75">
      <c r="C53" s="228"/>
      <c r="D53" s="228"/>
      <c r="E53" s="228"/>
      <c r="F53" s="244"/>
      <c r="G53" s="244"/>
      <c r="H53" s="244"/>
      <c r="I53" s="244"/>
      <c r="J53" s="244"/>
      <c r="K53" s="353"/>
      <c r="L53" s="355"/>
      <c r="M53" s="244"/>
      <c r="N53" s="353"/>
      <c r="O53" s="244"/>
      <c r="P53" s="356"/>
      <c r="Q53" s="228"/>
      <c r="R53" s="228"/>
      <c r="S53" s="244"/>
    </row>
    <row r="54" spans="3:19" s="279" customFormat="1" ht="12.75">
      <c r="C54" s="228"/>
      <c r="D54" s="228"/>
      <c r="E54" s="228"/>
      <c r="F54" s="244"/>
      <c r="G54" s="244"/>
      <c r="H54" s="244"/>
      <c r="I54" s="244"/>
      <c r="J54" s="244"/>
      <c r="K54" s="353"/>
      <c r="L54" s="355"/>
      <c r="M54" s="244"/>
      <c r="N54" s="353"/>
      <c r="O54" s="244"/>
      <c r="P54" s="356"/>
      <c r="Q54" s="228"/>
      <c r="R54" s="228"/>
      <c r="S54" s="244"/>
    </row>
    <row r="55" spans="3:19" s="279" customFormat="1" ht="12.75">
      <c r="C55" s="228"/>
      <c r="D55" s="228"/>
      <c r="E55" s="228"/>
      <c r="F55" s="244"/>
      <c r="G55" s="244"/>
      <c r="H55" s="244"/>
      <c r="I55" s="244"/>
      <c r="J55" s="244"/>
      <c r="K55" s="357"/>
      <c r="L55" s="358"/>
      <c r="M55" s="244"/>
      <c r="N55" s="357"/>
      <c r="O55" s="244"/>
      <c r="P55" s="356"/>
      <c r="Q55" s="228"/>
      <c r="R55" s="228"/>
      <c r="S55" s="244"/>
    </row>
    <row r="56" spans="3:19" s="279" customFormat="1" ht="12.75">
      <c r="C56" s="228"/>
      <c r="D56" s="228"/>
      <c r="E56" s="228"/>
      <c r="F56" s="244"/>
      <c r="G56" s="244"/>
      <c r="H56" s="244"/>
      <c r="I56" s="244"/>
      <c r="J56" s="244"/>
      <c r="K56" s="356"/>
      <c r="L56" s="359"/>
      <c r="M56" s="244"/>
      <c r="N56" s="356"/>
      <c r="O56" s="244"/>
      <c r="P56" s="356"/>
      <c r="Q56" s="228"/>
      <c r="R56" s="228"/>
      <c r="S56" s="244"/>
    </row>
    <row r="57" spans="3:19" s="279" customFormat="1" ht="12.75">
      <c r="C57" s="228"/>
      <c r="D57" s="228"/>
      <c r="E57" s="228"/>
      <c r="F57" s="244"/>
      <c r="G57" s="244"/>
      <c r="H57" s="244"/>
      <c r="I57" s="244"/>
      <c r="J57" s="244"/>
      <c r="K57" s="356"/>
      <c r="L57" s="356"/>
      <c r="M57" s="244"/>
      <c r="N57" s="356"/>
      <c r="O57" s="244"/>
      <c r="P57" s="356"/>
      <c r="Q57" s="228"/>
      <c r="S57" s="244"/>
    </row>
    <row r="58" spans="3:19" s="279" customFormat="1" ht="12.75">
      <c r="C58" s="228"/>
      <c r="D58" s="228"/>
      <c r="E58" s="228"/>
      <c r="F58" s="244"/>
      <c r="G58" s="244"/>
      <c r="H58" s="244"/>
      <c r="I58" s="244"/>
      <c r="J58" s="244"/>
      <c r="K58" s="356"/>
      <c r="L58" s="356"/>
      <c r="M58" s="244"/>
      <c r="N58" s="356"/>
      <c r="O58" s="244"/>
      <c r="P58" s="228"/>
      <c r="Q58" s="228"/>
      <c r="S58" s="244"/>
    </row>
    <row r="59" spans="3:19" s="279" customFormat="1" ht="12.75">
      <c r="C59" s="228"/>
      <c r="D59" s="228"/>
      <c r="E59" s="228"/>
      <c r="F59" s="244"/>
      <c r="G59" s="244"/>
      <c r="H59" s="244"/>
      <c r="I59" s="244"/>
      <c r="J59" s="244"/>
      <c r="K59" s="349"/>
      <c r="L59" s="349"/>
      <c r="M59" s="244"/>
      <c r="N59" s="349"/>
      <c r="O59" s="244"/>
      <c r="P59" s="228"/>
      <c r="Q59" s="228"/>
      <c r="S59" s="244"/>
    </row>
    <row r="60" spans="3:19" s="279" customFormat="1" ht="12.75">
      <c r="C60" s="228"/>
      <c r="D60" s="228"/>
      <c r="E60" s="228"/>
      <c r="F60" s="244"/>
      <c r="G60" s="244"/>
      <c r="H60" s="244"/>
      <c r="I60" s="244"/>
      <c r="J60" s="244"/>
      <c r="K60" s="349"/>
      <c r="L60" s="349"/>
      <c r="M60" s="244"/>
      <c r="N60" s="349"/>
      <c r="O60" s="244"/>
      <c r="P60" s="228"/>
      <c r="Q60" s="228"/>
      <c r="S60" s="244"/>
    </row>
    <row r="61" spans="3:19" s="279" customFormat="1" ht="12.75">
      <c r="C61" s="228"/>
      <c r="D61" s="228"/>
      <c r="E61" s="228"/>
      <c r="K61" s="349"/>
      <c r="L61" s="349"/>
      <c r="N61" s="349"/>
      <c r="P61" s="228"/>
      <c r="Q61" s="228"/>
      <c r="S61" s="244"/>
    </row>
    <row r="62" spans="3:19" s="279" customFormat="1" ht="12.75">
      <c r="C62" s="228"/>
      <c r="D62" s="228"/>
      <c r="E62" s="228"/>
      <c r="K62" s="349"/>
      <c r="L62" s="349"/>
      <c r="N62" s="349"/>
      <c r="P62" s="349"/>
      <c r="Q62" s="228"/>
      <c r="R62" s="349"/>
      <c r="S62" s="244"/>
    </row>
    <row r="63" spans="3:19" s="279" customFormat="1" ht="12.75">
      <c r="C63" s="228"/>
      <c r="D63" s="228"/>
      <c r="E63" s="228"/>
      <c r="K63" s="349"/>
      <c r="L63" s="349"/>
      <c r="N63" s="349"/>
      <c r="P63" s="349"/>
      <c r="Q63" s="228"/>
      <c r="R63" s="349"/>
      <c r="S63" s="244"/>
    </row>
    <row r="64" spans="3:19" s="279" customFormat="1" ht="12.75">
      <c r="C64" s="228"/>
      <c r="D64" s="228"/>
      <c r="E64" s="228"/>
      <c r="K64" s="349"/>
      <c r="L64" s="349"/>
      <c r="N64" s="349"/>
      <c r="P64" s="228"/>
      <c r="Q64" s="228"/>
      <c r="R64" s="349"/>
      <c r="S64" s="244"/>
    </row>
    <row r="65" spans="3:19" s="279" customFormat="1" ht="12.75">
      <c r="C65" s="228"/>
      <c r="D65" s="228"/>
      <c r="E65" s="228"/>
      <c r="K65" s="349"/>
      <c r="L65" s="349"/>
      <c r="N65" s="349"/>
      <c r="P65" s="349">
        <v>0</v>
      </c>
      <c r="Q65" s="228"/>
      <c r="R65" s="349"/>
      <c r="S65" s="244"/>
    </row>
    <row r="66" spans="3:19" s="279" customFormat="1" ht="12.75">
      <c r="C66" s="228"/>
      <c r="D66" s="228"/>
      <c r="E66" s="228"/>
      <c r="K66" s="349"/>
      <c r="L66" s="349"/>
      <c r="N66" s="349"/>
      <c r="P66" s="228"/>
      <c r="Q66" s="228"/>
      <c r="R66" s="349"/>
      <c r="S66" s="244"/>
    </row>
    <row r="67" spans="3:19" s="279" customFormat="1" ht="12.75">
      <c r="C67" s="228"/>
      <c r="D67" s="228"/>
      <c r="E67" s="228"/>
      <c r="K67" s="349"/>
      <c r="L67" s="349"/>
      <c r="N67" s="349"/>
      <c r="P67" s="228"/>
      <c r="Q67" s="228"/>
      <c r="R67" s="349"/>
      <c r="S67" s="244"/>
    </row>
    <row r="68" spans="3:19" s="279" customFormat="1" ht="12.75">
      <c r="C68" s="360"/>
      <c r="D68" s="360"/>
      <c r="E68" s="228"/>
      <c r="K68" s="349"/>
      <c r="L68" s="349"/>
      <c r="N68" s="349"/>
      <c r="Q68" s="228"/>
      <c r="R68" s="349"/>
      <c r="S68" s="244"/>
    </row>
    <row r="69" spans="3:19" s="279" customFormat="1" ht="12.75">
      <c r="C69" s="228"/>
      <c r="D69" s="228"/>
      <c r="E69" s="228"/>
      <c r="K69" s="349"/>
      <c r="L69" s="349"/>
      <c r="N69" s="349"/>
      <c r="Q69" s="228"/>
      <c r="R69" s="349"/>
      <c r="S69" s="244"/>
    </row>
    <row r="70" spans="3:19" s="279" customFormat="1" ht="12.75">
      <c r="C70" s="360"/>
      <c r="D70" s="360"/>
      <c r="E70" s="228"/>
      <c r="K70" s="349"/>
      <c r="L70" s="349"/>
      <c r="N70" s="349"/>
      <c r="Q70" s="228"/>
      <c r="R70" s="349"/>
      <c r="S70" s="244"/>
    </row>
    <row r="71" spans="4:19" s="279" customFormat="1" ht="12.75">
      <c r="D71" s="356">
        <v>1057476</v>
      </c>
      <c r="E71" s="228">
        <v>1098200</v>
      </c>
      <c r="K71" s="349"/>
      <c r="L71" s="349"/>
      <c r="N71" s="349"/>
      <c r="Q71" s="228"/>
      <c r="R71" s="349"/>
      <c r="S71" s="244"/>
    </row>
    <row r="72" spans="3:19" s="279" customFormat="1" ht="12.75">
      <c r="C72" s="361">
        <v>0.1</v>
      </c>
      <c r="D72" s="356">
        <v>1163223.6</v>
      </c>
      <c r="E72" s="228"/>
      <c r="K72" s="349"/>
      <c r="L72" s="349"/>
      <c r="N72" s="349"/>
      <c r="Q72" s="228"/>
      <c r="R72" s="349"/>
      <c r="S72" s="244"/>
    </row>
    <row r="73" spans="3:19" s="279" customFormat="1" ht="12.75">
      <c r="C73" s="361">
        <v>0.11</v>
      </c>
      <c r="D73" s="356">
        <v>1173798.36</v>
      </c>
      <c r="E73" s="228"/>
      <c r="K73" s="349"/>
      <c r="L73" s="349"/>
      <c r="N73" s="349"/>
      <c r="Q73" s="228"/>
      <c r="R73" s="349"/>
      <c r="S73" s="244"/>
    </row>
    <row r="74" spans="3:19" s="279" customFormat="1" ht="12.75">
      <c r="C74" s="361">
        <v>0.12</v>
      </c>
      <c r="D74" s="356">
        <v>1184373.12</v>
      </c>
      <c r="F74" s="342"/>
      <c r="G74" s="342"/>
      <c r="H74" s="342"/>
      <c r="I74" s="342"/>
      <c r="J74" s="342"/>
      <c r="K74" s="349"/>
      <c r="L74" s="349"/>
      <c r="N74" s="349"/>
      <c r="Q74" s="228"/>
      <c r="R74" s="349"/>
      <c r="S74" s="244"/>
    </row>
    <row r="75" spans="2:19" s="279" customFormat="1" ht="12.75">
      <c r="B75" s="362"/>
      <c r="C75" s="361">
        <v>0.13</v>
      </c>
      <c r="D75" s="356">
        <v>1194947.88</v>
      </c>
      <c r="F75" s="342"/>
      <c r="G75" s="342"/>
      <c r="H75" s="342"/>
      <c r="I75" s="342"/>
      <c r="J75" s="342"/>
      <c r="K75" s="349"/>
      <c r="L75" s="349"/>
      <c r="N75" s="349"/>
      <c r="Q75" s="228"/>
      <c r="R75" s="349"/>
      <c r="S75" s="244"/>
    </row>
    <row r="76" spans="3:19" s="279" customFormat="1" ht="12.75">
      <c r="C76" s="361">
        <v>0.14</v>
      </c>
      <c r="D76" s="356">
        <v>1205522.6400000001</v>
      </c>
      <c r="E76" s="363"/>
      <c r="F76" s="342"/>
      <c r="G76" s="342"/>
      <c r="H76" s="342"/>
      <c r="I76" s="342"/>
      <c r="J76" s="342"/>
      <c r="K76" s="349"/>
      <c r="L76" s="349"/>
      <c r="N76" s="349"/>
      <c r="Q76" s="228"/>
      <c r="R76" s="349"/>
      <c r="S76" s="244"/>
    </row>
    <row r="77" spans="6:19" s="279" customFormat="1" ht="12.75">
      <c r="F77" s="342"/>
      <c r="G77" s="342"/>
      <c r="H77" s="342"/>
      <c r="I77" s="342"/>
      <c r="J77" s="342"/>
      <c r="K77" s="349"/>
      <c r="L77" s="349"/>
      <c r="N77" s="349"/>
      <c r="Q77" s="228"/>
      <c r="R77" s="228"/>
      <c r="S77" s="244"/>
    </row>
    <row r="78" spans="6:19" s="279" customFormat="1" ht="12.75">
      <c r="F78" s="342"/>
      <c r="G78" s="342"/>
      <c r="H78" s="342"/>
      <c r="I78" s="342"/>
      <c r="J78" s="342"/>
      <c r="K78" s="349"/>
      <c r="L78" s="349"/>
      <c r="N78" s="349"/>
      <c r="Q78" s="228"/>
      <c r="R78" s="228"/>
      <c r="S78" s="244"/>
    </row>
    <row r="79" spans="6:19" s="279" customFormat="1" ht="12.75">
      <c r="F79" s="342"/>
      <c r="G79" s="342"/>
      <c r="H79" s="342"/>
      <c r="I79" s="342"/>
      <c r="J79" s="342"/>
      <c r="K79" s="228"/>
      <c r="L79" s="228"/>
      <c r="N79" s="228"/>
      <c r="Q79" s="228"/>
      <c r="R79" s="228"/>
      <c r="S79" s="244"/>
    </row>
    <row r="80" spans="3:19" s="279" customFormat="1" ht="12.75">
      <c r="C80" s="228"/>
      <c r="D80" s="228"/>
      <c r="F80" s="342"/>
      <c r="G80" s="342"/>
      <c r="H80" s="342"/>
      <c r="I80" s="342"/>
      <c r="J80" s="342"/>
      <c r="K80" s="228"/>
      <c r="L80" s="228"/>
      <c r="N80" s="228"/>
      <c r="Q80" s="228"/>
      <c r="R80" s="228"/>
      <c r="S80" s="244"/>
    </row>
    <row r="81" spans="3:19" s="279" customFormat="1" ht="12.75">
      <c r="C81" s="338"/>
      <c r="D81" s="338"/>
      <c r="F81" s="342"/>
      <c r="G81" s="342"/>
      <c r="H81" s="342"/>
      <c r="I81" s="342"/>
      <c r="J81" s="342"/>
      <c r="K81" s="228"/>
      <c r="L81" s="228"/>
      <c r="N81" s="228"/>
      <c r="Q81" s="228"/>
      <c r="R81" s="228"/>
      <c r="S81" s="244"/>
    </row>
    <row r="82" spans="3:19" s="279" customFormat="1" ht="12.75">
      <c r="C82" s="228"/>
      <c r="D82" s="228"/>
      <c r="F82" s="342"/>
      <c r="G82" s="342"/>
      <c r="H82" s="342"/>
      <c r="I82" s="342"/>
      <c r="J82" s="342"/>
      <c r="K82" s="228"/>
      <c r="L82" s="228"/>
      <c r="N82" s="228"/>
      <c r="Q82" s="228"/>
      <c r="R82" s="228"/>
      <c r="S82" s="244"/>
    </row>
    <row r="83" spans="3:19" s="279" customFormat="1" ht="12.75">
      <c r="C83" s="228"/>
      <c r="D83" s="228"/>
      <c r="E83" s="244">
        <v>0</v>
      </c>
      <c r="F83" s="342"/>
      <c r="G83" s="342"/>
      <c r="H83" s="342"/>
      <c r="I83" s="342"/>
      <c r="J83" s="342"/>
      <c r="K83" s="228"/>
      <c r="L83" s="228"/>
      <c r="N83" s="228"/>
      <c r="Q83" s="228"/>
      <c r="R83" s="228"/>
      <c r="S83" s="244"/>
    </row>
    <row r="84" spans="3:19" s="279" customFormat="1" ht="12.75">
      <c r="C84" s="228"/>
      <c r="D84" s="228"/>
      <c r="F84" s="342"/>
      <c r="G84" s="342"/>
      <c r="H84" s="342"/>
      <c r="I84" s="342"/>
      <c r="J84" s="342"/>
      <c r="K84" s="228"/>
      <c r="L84" s="228"/>
      <c r="N84" s="228"/>
      <c r="Q84" s="228"/>
      <c r="R84" s="228"/>
      <c r="S84" s="244"/>
    </row>
    <row r="85" spans="3:19" s="279" customFormat="1" ht="12.75">
      <c r="C85" s="228"/>
      <c r="D85" s="228"/>
      <c r="F85" s="342"/>
      <c r="G85" s="342"/>
      <c r="H85" s="342"/>
      <c r="I85" s="342"/>
      <c r="J85" s="342"/>
      <c r="K85" s="228"/>
      <c r="L85" s="228"/>
      <c r="N85" s="228"/>
      <c r="Q85" s="228"/>
      <c r="R85" s="228"/>
      <c r="S85" s="244"/>
    </row>
    <row r="86" spans="3:19" s="279" customFormat="1" ht="12.75">
      <c r="C86" s="228"/>
      <c r="D86" s="228"/>
      <c r="F86" s="342"/>
      <c r="G86" s="342"/>
      <c r="H86" s="342"/>
      <c r="I86" s="342"/>
      <c r="J86" s="342"/>
      <c r="K86" s="228"/>
      <c r="L86" s="228"/>
      <c r="N86" s="228"/>
      <c r="Q86" s="228"/>
      <c r="R86" s="228"/>
      <c r="S86" s="244"/>
    </row>
    <row r="87" spans="3:19" s="279" customFormat="1" ht="12.75">
      <c r="C87" s="228"/>
      <c r="D87" s="228"/>
      <c r="F87" s="342"/>
      <c r="G87" s="342"/>
      <c r="H87" s="342"/>
      <c r="I87" s="342"/>
      <c r="J87" s="342"/>
      <c r="K87" s="228"/>
      <c r="L87" s="228"/>
      <c r="N87" s="228"/>
      <c r="Q87" s="228"/>
      <c r="R87" s="228"/>
      <c r="S87" s="244"/>
    </row>
    <row r="88" spans="3:20" s="279" customFormat="1" ht="12.75">
      <c r="C88" s="228"/>
      <c r="D88" s="228"/>
      <c r="F88" s="342"/>
      <c r="G88" s="342"/>
      <c r="H88" s="342"/>
      <c r="I88" s="342"/>
      <c r="J88" s="342"/>
      <c r="K88" s="228"/>
      <c r="L88" s="228"/>
      <c r="N88" s="228"/>
      <c r="Q88" s="228"/>
      <c r="R88" s="228"/>
      <c r="S88" s="244"/>
      <c r="T88" s="244">
        <v>6822</v>
      </c>
    </row>
    <row r="89" spans="3:20" s="279" customFormat="1" ht="12.75">
      <c r="C89" s="228"/>
      <c r="D89" s="228"/>
      <c r="F89" s="342"/>
      <c r="G89" s="342"/>
      <c r="H89" s="342"/>
      <c r="I89" s="342"/>
      <c r="J89" s="342"/>
      <c r="K89" s="228"/>
      <c r="L89" s="228"/>
      <c r="N89" s="228"/>
      <c r="Q89" s="228"/>
      <c r="R89" s="228"/>
      <c r="S89" s="244"/>
      <c r="T89" s="244">
        <v>52795</v>
      </c>
    </row>
    <row r="90" ht="12.75">
      <c r="T90" s="243">
        <v>44017</v>
      </c>
    </row>
    <row r="91" ht="12.75">
      <c r="T91" s="243">
        <v>34502</v>
      </c>
    </row>
    <row r="92" ht="12.75">
      <c r="T92" s="365">
        <v>42840</v>
      </c>
    </row>
    <row r="93" ht="12.75">
      <c r="T93" s="243">
        <v>180976</v>
      </c>
    </row>
  </sheetData>
  <sheetProtection/>
  <printOptions/>
  <pageMargins left="0.19" right="0.24" top="0.38" bottom="0.19" header="0.19" footer="0.5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theme="9" tint="-0.24997000396251678"/>
    <pageSetUpPr fitToPage="1"/>
  </sheetPr>
  <dimension ref="A2:AC559"/>
  <sheetViews>
    <sheetView showZeros="0" tabSelected="1" showOutlineSymbols="0" zoomScalePageLayoutView="0" workbookViewId="0" topLeftCell="A1">
      <pane ySplit="1" topLeftCell="A2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6.8515625" style="463" customWidth="1"/>
    <col min="2" max="2" width="56.28125" style="464" customWidth="1"/>
    <col min="3" max="3" width="3.421875" style="3" hidden="1" customWidth="1"/>
    <col min="4" max="4" width="6.8515625" style="4" hidden="1" customWidth="1"/>
    <col min="5" max="5" width="4.57421875" style="3" hidden="1" customWidth="1"/>
    <col min="6" max="6" width="12.00390625" style="3" hidden="1" customWidth="1"/>
    <col min="7" max="7" width="14.28125" style="3" hidden="1" customWidth="1"/>
    <col min="8" max="8" width="15.28125" style="3" hidden="1" customWidth="1"/>
    <col min="9" max="9" width="15.00390625" style="465" hidden="1" customWidth="1"/>
    <col min="10" max="10" width="13.57421875" style="466" hidden="1" customWidth="1"/>
    <col min="11" max="11" width="14.28125" style="5" hidden="1" customWidth="1"/>
    <col min="12" max="13" width="19.00390625" style="3" customWidth="1"/>
    <col min="14" max="14" width="14.421875" style="466" customWidth="1"/>
    <col min="15" max="15" width="85.7109375" style="2" customWidth="1"/>
    <col min="16" max="16" width="12.57421875" style="1" hidden="1" customWidth="1"/>
    <col min="17" max="17" width="12.140625" style="1" hidden="1" customWidth="1"/>
    <col min="18" max="18" width="12.8515625" style="1" hidden="1" customWidth="1"/>
    <col min="19" max="19" width="13.7109375" style="1" hidden="1" customWidth="1"/>
    <col min="20" max="21" width="0" style="1" hidden="1" customWidth="1"/>
    <col min="22" max="22" width="28.57421875" style="1" hidden="1" customWidth="1"/>
    <col min="23" max="16384" width="9.140625" style="1" customWidth="1"/>
  </cols>
  <sheetData>
    <row r="1" ht="21.75" customHeight="1" thickBot="1"/>
    <row r="2" spans="1:19" ht="13.5">
      <c r="A2" s="195"/>
      <c r="B2" s="194"/>
      <c r="C2" s="193"/>
      <c r="D2" s="193"/>
      <c r="E2" s="192"/>
      <c r="F2" s="192"/>
      <c r="G2" s="191"/>
      <c r="H2" s="190"/>
      <c r="I2" s="467"/>
      <c r="J2" s="468"/>
      <c r="K2" s="804"/>
      <c r="L2" s="191"/>
      <c r="M2" s="469"/>
      <c r="N2" s="470"/>
      <c r="O2" s="471"/>
      <c r="P2" s="189"/>
      <c r="Q2" s="188" t="s">
        <v>324</v>
      </c>
      <c r="R2" s="187"/>
      <c r="S2" s="186"/>
    </row>
    <row r="3" spans="1:19" ht="13.5">
      <c r="A3" s="185"/>
      <c r="B3" s="184"/>
      <c r="C3" s="183"/>
      <c r="D3" s="183"/>
      <c r="E3" s="171" t="s">
        <v>323</v>
      </c>
      <c r="F3" s="171" t="s">
        <v>322</v>
      </c>
      <c r="G3" s="177" t="s">
        <v>321</v>
      </c>
      <c r="H3" s="170" t="s">
        <v>321</v>
      </c>
      <c r="I3" s="472" t="s">
        <v>319</v>
      </c>
      <c r="J3" s="473" t="s">
        <v>320</v>
      </c>
      <c r="K3" s="805"/>
      <c r="L3" s="177" t="s">
        <v>564</v>
      </c>
      <c r="M3" s="474" t="s">
        <v>718</v>
      </c>
      <c r="N3" s="475" t="s">
        <v>318</v>
      </c>
      <c r="O3" s="476"/>
      <c r="P3" s="182"/>
      <c r="Q3" s="169" t="s">
        <v>316</v>
      </c>
      <c r="R3" s="181"/>
      <c r="S3" s="180"/>
    </row>
    <row r="4" spans="1:19" ht="13.5">
      <c r="A4" s="179"/>
      <c r="B4" s="173"/>
      <c r="C4" s="183"/>
      <c r="D4" s="183"/>
      <c r="E4" s="171" t="s">
        <v>313</v>
      </c>
      <c r="F4" s="171" t="s">
        <v>317</v>
      </c>
      <c r="G4" s="177" t="s">
        <v>313</v>
      </c>
      <c r="H4" s="170" t="s">
        <v>317</v>
      </c>
      <c r="I4" s="477" t="s">
        <v>316</v>
      </c>
      <c r="J4" s="473" t="s">
        <v>315</v>
      </c>
      <c r="K4" s="805" t="s">
        <v>314</v>
      </c>
      <c r="L4" s="177" t="s">
        <v>313</v>
      </c>
      <c r="M4" s="474" t="s">
        <v>313</v>
      </c>
      <c r="N4" s="475" t="s">
        <v>312</v>
      </c>
      <c r="O4" s="476"/>
      <c r="P4" s="182"/>
      <c r="Q4" s="169" t="s">
        <v>311</v>
      </c>
      <c r="R4" s="181"/>
      <c r="S4" s="180"/>
    </row>
    <row r="5" spans="1:19" ht="13.5">
      <c r="A5" s="179"/>
      <c r="B5" s="173"/>
      <c r="C5" s="178"/>
      <c r="D5" s="178"/>
      <c r="E5" s="171" t="s">
        <v>261</v>
      </c>
      <c r="F5" s="171" t="s">
        <v>261</v>
      </c>
      <c r="G5" s="177" t="s">
        <v>261</v>
      </c>
      <c r="H5" s="170" t="s">
        <v>261</v>
      </c>
      <c r="I5" s="477" t="s">
        <v>261</v>
      </c>
      <c r="J5" s="473" t="s">
        <v>310</v>
      </c>
      <c r="K5" s="805" t="s">
        <v>309</v>
      </c>
      <c r="L5" s="177" t="s">
        <v>261</v>
      </c>
      <c r="M5" s="474" t="s">
        <v>261</v>
      </c>
      <c r="N5" s="475" t="s">
        <v>719</v>
      </c>
      <c r="O5" s="476" t="s">
        <v>308</v>
      </c>
      <c r="P5" s="176" t="s">
        <v>307</v>
      </c>
      <c r="Q5" s="169" t="s">
        <v>261</v>
      </c>
      <c r="R5" s="175" t="s">
        <v>306</v>
      </c>
      <c r="S5" s="174" t="s">
        <v>305</v>
      </c>
    </row>
    <row r="6" spans="1:19" ht="14.25" thickBot="1">
      <c r="A6" s="179"/>
      <c r="B6" s="173" t="s">
        <v>304</v>
      </c>
      <c r="C6" s="172"/>
      <c r="D6" s="172"/>
      <c r="E6" s="171" t="s">
        <v>303</v>
      </c>
      <c r="F6" s="171" t="s">
        <v>303</v>
      </c>
      <c r="G6" s="177" t="s">
        <v>303</v>
      </c>
      <c r="H6" s="170" t="s">
        <v>303</v>
      </c>
      <c r="I6" s="678"/>
      <c r="J6" s="473"/>
      <c r="K6" s="97"/>
      <c r="L6" s="803" t="s">
        <v>303</v>
      </c>
      <c r="M6" s="478" t="s">
        <v>303</v>
      </c>
      <c r="N6" s="475"/>
      <c r="O6" s="476"/>
      <c r="P6" s="176" t="s">
        <v>302</v>
      </c>
      <c r="Q6" s="169" t="s">
        <v>301</v>
      </c>
      <c r="R6" s="175" t="s">
        <v>300</v>
      </c>
      <c r="S6" s="679" t="s">
        <v>299</v>
      </c>
    </row>
    <row r="7" spans="1:19" s="688" customFormat="1" ht="14.25" thickBot="1">
      <c r="A7" s="680">
        <v>1</v>
      </c>
      <c r="B7" s="479" t="s">
        <v>298</v>
      </c>
      <c r="C7" s="681"/>
      <c r="D7" s="682"/>
      <c r="E7" s="563">
        <v>435877.8</v>
      </c>
      <c r="F7" s="683">
        <v>419131.52999999997</v>
      </c>
      <c r="G7" s="480">
        <f>SUM(G8:G32)</f>
        <v>466153.30583333335</v>
      </c>
      <c r="H7" s="684"/>
      <c r="I7" s="684">
        <v>456971.13543333334</v>
      </c>
      <c r="J7" s="684">
        <v>0</v>
      </c>
      <c r="K7" s="684">
        <v>0</v>
      </c>
      <c r="L7" s="684">
        <f>SUM(L8:L32)</f>
        <v>358141</v>
      </c>
      <c r="M7" s="684">
        <f>SUM(M8:M32)</f>
        <v>395908</v>
      </c>
      <c r="N7" s="481">
        <f>SUM(L7-M7)</f>
        <v>-37767</v>
      </c>
      <c r="O7" s="654"/>
      <c r="P7" s="685">
        <v>-2500</v>
      </c>
      <c r="Q7" s="686">
        <v>399134.4454333333</v>
      </c>
      <c r="R7" s="686"/>
      <c r="S7" s="687">
        <v>399134.4454333333</v>
      </c>
    </row>
    <row r="8" spans="1:19" ht="13.5">
      <c r="A8" s="485" t="s">
        <v>297</v>
      </c>
      <c r="B8" s="759" t="s">
        <v>296</v>
      </c>
      <c r="C8" s="100"/>
      <c r="D8" s="22"/>
      <c r="E8" s="761">
        <v>17500</v>
      </c>
      <c r="F8" s="761">
        <v>17500</v>
      </c>
      <c r="G8" s="761">
        <v>17500</v>
      </c>
      <c r="H8" s="100"/>
      <c r="I8" s="762">
        <v>17500</v>
      </c>
      <c r="J8" s="763"/>
      <c r="K8" s="521"/>
      <c r="L8" s="764">
        <v>21600</v>
      </c>
      <c r="M8" s="764">
        <v>21600</v>
      </c>
      <c r="N8" s="64">
        <f>SUM(L8-M8)</f>
        <v>0</v>
      </c>
      <c r="O8" s="880"/>
      <c r="P8" s="168"/>
      <c r="Q8" s="167">
        <v>17500</v>
      </c>
      <c r="R8" s="166"/>
      <c r="S8" s="165">
        <v>17500</v>
      </c>
    </row>
    <row r="9" spans="1:19" s="779" customFormat="1" ht="13.5">
      <c r="A9" s="765" t="s">
        <v>295</v>
      </c>
      <c r="B9" s="766" t="s">
        <v>294</v>
      </c>
      <c r="C9" s="767"/>
      <c r="D9" s="768"/>
      <c r="E9" s="769">
        <v>12000</v>
      </c>
      <c r="F9" s="769">
        <v>0</v>
      </c>
      <c r="G9" s="769">
        <v>12000</v>
      </c>
      <c r="H9" s="767"/>
      <c r="I9" s="770">
        <v>12000</v>
      </c>
      <c r="J9" s="771"/>
      <c r="K9" s="772"/>
      <c r="L9" s="773">
        <v>10000</v>
      </c>
      <c r="M9" s="773">
        <v>10000</v>
      </c>
      <c r="N9" s="20">
        <f aca="true" t="shared" si="0" ref="N9:N31">SUM(L9-M9)</f>
        <v>0</v>
      </c>
      <c r="O9" s="880"/>
      <c r="P9" s="775"/>
      <c r="Q9" s="776">
        <v>12000</v>
      </c>
      <c r="R9" s="777"/>
      <c r="S9" s="778">
        <v>12000</v>
      </c>
    </row>
    <row r="10" spans="1:19" s="779" customFormat="1" ht="13.5">
      <c r="A10" s="765">
        <v>5</v>
      </c>
      <c r="B10" s="785" t="s">
        <v>293</v>
      </c>
      <c r="C10" s="767"/>
      <c r="D10" s="768"/>
      <c r="E10" s="769">
        <v>500</v>
      </c>
      <c r="F10" s="769">
        <v>500</v>
      </c>
      <c r="G10" s="769">
        <v>500</v>
      </c>
      <c r="H10" s="767"/>
      <c r="I10" s="770">
        <v>500</v>
      </c>
      <c r="J10" s="771"/>
      <c r="K10" s="772"/>
      <c r="L10" s="773">
        <v>500</v>
      </c>
      <c r="M10" s="773">
        <v>500</v>
      </c>
      <c r="N10" s="20">
        <f t="shared" si="0"/>
        <v>0</v>
      </c>
      <c r="O10" s="774"/>
      <c r="P10" s="775"/>
      <c r="Q10" s="776">
        <v>500</v>
      </c>
      <c r="R10" s="777"/>
      <c r="S10" s="778">
        <v>500</v>
      </c>
    </row>
    <row r="11" spans="1:19" s="779" customFormat="1" ht="13.5">
      <c r="A11" s="765">
        <v>6</v>
      </c>
      <c r="B11" s="785" t="s">
        <v>292</v>
      </c>
      <c r="C11" s="767"/>
      <c r="D11" s="768"/>
      <c r="E11" s="769">
        <v>5000</v>
      </c>
      <c r="F11" s="769">
        <v>5000</v>
      </c>
      <c r="G11" s="769">
        <v>3500</v>
      </c>
      <c r="H11" s="767"/>
      <c r="I11" s="770">
        <v>3500</v>
      </c>
      <c r="J11" s="771"/>
      <c r="K11" s="772"/>
      <c r="L11" s="773">
        <v>3500</v>
      </c>
      <c r="M11" s="773">
        <v>7500</v>
      </c>
      <c r="N11" s="20">
        <f t="shared" si="0"/>
        <v>-4000</v>
      </c>
      <c r="O11" s="786"/>
      <c r="P11" s="775"/>
      <c r="Q11" s="776">
        <v>3500</v>
      </c>
      <c r="R11" s="777"/>
      <c r="S11" s="778">
        <v>3500</v>
      </c>
    </row>
    <row r="12" spans="1:19" s="779" customFormat="1" ht="13.5">
      <c r="A12" s="765" t="s">
        <v>291</v>
      </c>
      <c r="B12" s="785" t="s">
        <v>290</v>
      </c>
      <c r="C12" s="767"/>
      <c r="D12" s="768"/>
      <c r="E12" s="769">
        <v>0</v>
      </c>
      <c r="F12" s="769">
        <v>0</v>
      </c>
      <c r="G12" s="769">
        <v>0</v>
      </c>
      <c r="H12" s="767"/>
      <c r="I12" s="787">
        <v>0</v>
      </c>
      <c r="J12" s="788"/>
      <c r="K12" s="772"/>
      <c r="L12" s="773">
        <v>0</v>
      </c>
      <c r="M12" s="773"/>
      <c r="N12" s="20">
        <f t="shared" si="0"/>
        <v>0</v>
      </c>
      <c r="O12" s="786"/>
      <c r="P12" s="775"/>
      <c r="Q12" s="776">
        <v>0</v>
      </c>
      <c r="R12" s="777"/>
      <c r="S12" s="778">
        <v>0</v>
      </c>
    </row>
    <row r="13" spans="1:19" s="779" customFormat="1" ht="13.5">
      <c r="A13" s="765" t="s">
        <v>289</v>
      </c>
      <c r="B13" s="785" t="s">
        <v>288</v>
      </c>
      <c r="C13" s="767"/>
      <c r="D13" s="768"/>
      <c r="E13" s="769">
        <v>1500</v>
      </c>
      <c r="F13" s="769">
        <v>1500</v>
      </c>
      <c r="G13" s="769">
        <v>1500</v>
      </c>
      <c r="H13" s="767"/>
      <c r="I13" s="787">
        <v>1500</v>
      </c>
      <c r="J13" s="788"/>
      <c r="K13" s="772"/>
      <c r="L13" s="773"/>
      <c r="M13" s="773">
        <v>0</v>
      </c>
      <c r="N13" s="20">
        <f t="shared" si="0"/>
        <v>0</v>
      </c>
      <c r="O13" s="786"/>
      <c r="P13" s="775"/>
      <c r="Q13" s="776">
        <v>1500</v>
      </c>
      <c r="R13" s="777"/>
      <c r="S13" s="778">
        <v>1500</v>
      </c>
    </row>
    <row r="14" spans="1:19" s="779" customFormat="1" ht="13.5">
      <c r="A14" s="765" t="s">
        <v>287</v>
      </c>
      <c r="B14" s="785" t="s">
        <v>286</v>
      </c>
      <c r="C14" s="767"/>
      <c r="D14" s="768"/>
      <c r="E14" s="769">
        <v>1000</v>
      </c>
      <c r="F14" s="769">
        <v>1000</v>
      </c>
      <c r="G14" s="769">
        <v>1000</v>
      </c>
      <c r="H14" s="767"/>
      <c r="I14" s="787">
        <v>1000</v>
      </c>
      <c r="J14" s="788"/>
      <c r="K14" s="772"/>
      <c r="L14" s="773"/>
      <c r="M14" s="773"/>
      <c r="N14" s="20">
        <f t="shared" si="0"/>
        <v>0</v>
      </c>
      <c r="O14" s="786"/>
      <c r="P14" s="775"/>
      <c r="Q14" s="776">
        <v>1000</v>
      </c>
      <c r="R14" s="777"/>
      <c r="S14" s="778">
        <v>1000</v>
      </c>
    </row>
    <row r="15" spans="1:19" s="792" customFormat="1" ht="13.5">
      <c r="A15" s="765">
        <v>8</v>
      </c>
      <c r="B15" s="785" t="s">
        <v>285</v>
      </c>
      <c r="C15" s="767"/>
      <c r="D15" s="768"/>
      <c r="E15" s="769">
        <v>6558.333333333333</v>
      </c>
      <c r="F15" s="769">
        <v>5725</v>
      </c>
      <c r="G15" s="769">
        <v>9558.333333333332</v>
      </c>
      <c r="H15" s="767"/>
      <c r="I15" s="787">
        <v>9558.333333333332</v>
      </c>
      <c r="J15" s="788"/>
      <c r="K15" s="772"/>
      <c r="L15" s="773">
        <v>6000</v>
      </c>
      <c r="M15" s="773">
        <v>6000</v>
      </c>
      <c r="N15" s="20">
        <f t="shared" si="0"/>
        <v>0</v>
      </c>
      <c r="O15" s="786"/>
      <c r="P15" s="775"/>
      <c r="Q15" s="789">
        <v>9558.333333333332</v>
      </c>
      <c r="R15" s="790"/>
      <c r="S15" s="791">
        <v>9558.333333333332</v>
      </c>
    </row>
    <row r="16" spans="1:19" s="779" customFormat="1" ht="13.5">
      <c r="A16" s="765" t="s">
        <v>284</v>
      </c>
      <c r="B16" s="785" t="s">
        <v>283</v>
      </c>
      <c r="C16" s="767"/>
      <c r="D16" s="768" t="s">
        <v>34</v>
      </c>
      <c r="E16" s="769">
        <v>131875</v>
      </c>
      <c r="F16" s="769">
        <v>131875</v>
      </c>
      <c r="G16" s="769">
        <v>137622.8125</v>
      </c>
      <c r="H16" s="767"/>
      <c r="I16" s="787">
        <v>142622.8125</v>
      </c>
      <c r="J16" s="788"/>
      <c r="K16" s="772"/>
      <c r="L16" s="773">
        <v>147779</v>
      </c>
      <c r="M16" s="773">
        <f>OTHER!C15</f>
        <v>152152</v>
      </c>
      <c r="N16" s="64">
        <f t="shared" si="0"/>
        <v>-4373</v>
      </c>
      <c r="O16" s="786"/>
      <c r="P16" s="775"/>
      <c r="Q16" s="776">
        <v>142622.8125</v>
      </c>
      <c r="R16" s="777"/>
      <c r="S16" s="778">
        <v>142622.8125</v>
      </c>
    </row>
    <row r="17" spans="1:19" s="792" customFormat="1" ht="13.5">
      <c r="A17" s="765" t="s">
        <v>282</v>
      </c>
      <c r="B17" s="785" t="s">
        <v>281</v>
      </c>
      <c r="C17" s="767"/>
      <c r="D17" s="768" t="s">
        <v>34</v>
      </c>
      <c r="E17" s="769">
        <v>0</v>
      </c>
      <c r="F17" s="769">
        <v>0</v>
      </c>
      <c r="G17" s="769">
        <v>2500</v>
      </c>
      <c r="H17" s="767"/>
      <c r="I17" s="787">
        <v>0</v>
      </c>
      <c r="J17" s="788"/>
      <c r="K17" s="772"/>
      <c r="L17" s="773">
        <v>3500</v>
      </c>
      <c r="M17" s="773">
        <v>0</v>
      </c>
      <c r="N17" s="20">
        <f t="shared" si="0"/>
        <v>3500</v>
      </c>
      <c r="O17" s="786"/>
      <c r="P17" s="793"/>
      <c r="Q17" s="776">
        <v>0</v>
      </c>
      <c r="R17" s="777"/>
      <c r="S17" s="778">
        <v>0</v>
      </c>
    </row>
    <row r="18" spans="1:19" s="779" customFormat="1" ht="13.5">
      <c r="A18" s="765">
        <v>10</v>
      </c>
      <c r="B18" s="785" t="s">
        <v>280</v>
      </c>
      <c r="C18" s="767"/>
      <c r="D18" s="768" t="s">
        <v>34</v>
      </c>
      <c r="E18" s="769">
        <v>104000</v>
      </c>
      <c r="F18" s="769">
        <v>102000</v>
      </c>
      <c r="G18" s="769">
        <v>110336.69</v>
      </c>
      <c r="H18" s="767"/>
      <c r="I18" s="787">
        <v>110336.69</v>
      </c>
      <c r="J18" s="788"/>
      <c r="K18" s="772"/>
      <c r="L18" s="773"/>
      <c r="M18" s="773"/>
      <c r="N18" s="20">
        <f t="shared" si="0"/>
        <v>0</v>
      </c>
      <c r="O18" s="786"/>
      <c r="P18" s="775"/>
      <c r="Q18" s="776">
        <v>55000</v>
      </c>
      <c r="R18" s="777"/>
      <c r="S18" s="778">
        <v>55000</v>
      </c>
    </row>
    <row r="19" spans="1:19" s="779" customFormat="1" ht="13.5">
      <c r="A19" s="765">
        <v>12</v>
      </c>
      <c r="B19" s="794" t="s">
        <v>279</v>
      </c>
      <c r="C19" s="767"/>
      <c r="D19" s="768"/>
      <c r="E19" s="769">
        <v>0</v>
      </c>
      <c r="F19" s="769">
        <v>0</v>
      </c>
      <c r="G19" s="769">
        <v>0</v>
      </c>
      <c r="H19" s="767"/>
      <c r="I19" s="787">
        <v>0</v>
      </c>
      <c r="J19" s="788"/>
      <c r="K19" s="772"/>
      <c r="L19" s="773">
        <v>0</v>
      </c>
      <c r="M19" s="773"/>
      <c r="N19" s="20">
        <f t="shared" si="0"/>
        <v>0</v>
      </c>
      <c r="O19" s="786"/>
      <c r="P19" s="775"/>
      <c r="Q19" s="776">
        <v>0</v>
      </c>
      <c r="R19" s="777"/>
      <c r="S19" s="778">
        <v>0</v>
      </c>
    </row>
    <row r="20" spans="1:19" s="779" customFormat="1" ht="13.5">
      <c r="A20" s="765" t="s">
        <v>552</v>
      </c>
      <c r="B20" s="794" t="s">
        <v>278</v>
      </c>
      <c r="C20" s="767"/>
      <c r="D20" s="768" t="s">
        <v>34</v>
      </c>
      <c r="E20" s="769">
        <v>43350</v>
      </c>
      <c r="F20" s="769">
        <v>46648.935</v>
      </c>
      <c r="G20" s="769">
        <v>50180.57</v>
      </c>
      <c r="H20" s="767"/>
      <c r="I20" s="787">
        <v>51685.9871</v>
      </c>
      <c r="J20" s="788"/>
      <c r="K20" s="772"/>
      <c r="L20" s="773">
        <v>46590</v>
      </c>
      <c r="M20" s="773">
        <f>OTHER!C17</f>
        <v>52482</v>
      </c>
      <c r="N20" s="20">
        <f t="shared" si="0"/>
        <v>-5892</v>
      </c>
      <c r="O20" s="786"/>
      <c r="P20" s="775"/>
      <c r="Q20" s="776">
        <v>51685.9871</v>
      </c>
      <c r="R20" s="777"/>
      <c r="S20" s="778">
        <v>51685.9871</v>
      </c>
    </row>
    <row r="21" spans="1:19" s="779" customFormat="1" ht="13.5">
      <c r="A21" s="765" t="s">
        <v>553</v>
      </c>
      <c r="B21" s="794" t="s">
        <v>277</v>
      </c>
      <c r="C21" s="767"/>
      <c r="D21" s="768" t="s">
        <v>34</v>
      </c>
      <c r="E21" s="769">
        <v>45900</v>
      </c>
      <c r="F21" s="769">
        <v>49392.99</v>
      </c>
      <c r="G21" s="769">
        <v>53207.74</v>
      </c>
      <c r="H21" s="767"/>
      <c r="I21" s="787">
        <v>54803.9722</v>
      </c>
      <c r="J21" s="788"/>
      <c r="K21" s="772"/>
      <c r="L21" s="773">
        <v>53219</v>
      </c>
      <c r="M21" s="773">
        <v>54804</v>
      </c>
      <c r="N21" s="20">
        <f t="shared" si="0"/>
        <v>-1585</v>
      </c>
      <c r="O21" s="786"/>
      <c r="P21" s="775"/>
      <c r="Q21" s="776">
        <v>54803.9722</v>
      </c>
      <c r="R21" s="777"/>
      <c r="S21" s="778">
        <v>54803.9722</v>
      </c>
    </row>
    <row r="22" spans="1:19" s="779" customFormat="1" ht="13.5">
      <c r="A22" s="765" t="s">
        <v>554</v>
      </c>
      <c r="B22" s="794" t="s">
        <v>582</v>
      </c>
      <c r="C22" s="767"/>
      <c r="D22" s="768" t="s">
        <v>34</v>
      </c>
      <c r="E22" s="769">
        <v>28050</v>
      </c>
      <c r="F22" s="769">
        <v>30184.605</v>
      </c>
      <c r="G22" s="769">
        <v>32411.010000000002</v>
      </c>
      <c r="H22" s="767"/>
      <c r="I22" s="787">
        <v>33383.3403</v>
      </c>
      <c r="J22" s="788"/>
      <c r="K22" s="772"/>
      <c r="L22" s="773">
        <v>43583</v>
      </c>
      <c r="M22" s="773">
        <f>OTHER!C16</f>
        <v>67000</v>
      </c>
      <c r="N22" s="20">
        <f t="shared" si="0"/>
        <v>-23417</v>
      </c>
      <c r="O22" s="786"/>
      <c r="P22" s="775"/>
      <c r="Q22" s="776">
        <v>33383.3403</v>
      </c>
      <c r="R22" s="777"/>
      <c r="S22" s="778">
        <v>33383.3403</v>
      </c>
    </row>
    <row r="23" spans="1:19" s="779" customFormat="1" ht="13.5">
      <c r="A23" s="765"/>
      <c r="B23" s="794" t="s">
        <v>715</v>
      </c>
      <c r="C23" s="767"/>
      <c r="D23" s="768"/>
      <c r="E23" s="769"/>
      <c r="F23" s="769">
        <v>0</v>
      </c>
      <c r="G23" s="795">
        <v>0</v>
      </c>
      <c r="H23" s="796"/>
      <c r="I23" s="787">
        <v>0</v>
      </c>
      <c r="J23" s="788"/>
      <c r="K23" s="772"/>
      <c r="L23" s="773"/>
      <c r="M23" s="773"/>
      <c r="N23" s="20">
        <f t="shared" si="0"/>
        <v>0</v>
      </c>
      <c r="O23" s="786"/>
      <c r="P23" s="775"/>
      <c r="Q23" s="776"/>
      <c r="R23" s="777"/>
      <c r="S23" s="778"/>
    </row>
    <row r="24" spans="1:19" s="779" customFormat="1" ht="13.5">
      <c r="A24" s="797" t="s">
        <v>555</v>
      </c>
      <c r="B24" s="798" t="s">
        <v>276</v>
      </c>
      <c r="C24" s="796"/>
      <c r="D24" s="768" t="s">
        <v>34</v>
      </c>
      <c r="E24" s="769">
        <v>23500</v>
      </c>
      <c r="F24" s="799">
        <v>18500</v>
      </c>
      <c r="G24" s="800">
        <v>24931.15</v>
      </c>
      <c r="H24" s="796"/>
      <c r="I24" s="787">
        <v>10000</v>
      </c>
      <c r="J24" s="788"/>
      <c r="K24" s="772"/>
      <c r="L24" s="773">
        <v>10000</v>
      </c>
      <c r="M24" s="773">
        <f>OTHER!C19</f>
        <v>10000</v>
      </c>
      <c r="N24" s="20">
        <f t="shared" si="0"/>
        <v>0</v>
      </c>
      <c r="O24" s="786"/>
      <c r="P24" s="775"/>
      <c r="Q24" s="776">
        <v>10000</v>
      </c>
      <c r="R24" s="777"/>
      <c r="S24" s="778">
        <v>10000</v>
      </c>
    </row>
    <row r="25" spans="1:19" s="779" customFormat="1" ht="13.5">
      <c r="A25" s="765">
        <v>13</v>
      </c>
      <c r="B25" s="766" t="s">
        <v>275</v>
      </c>
      <c r="C25" s="767"/>
      <c r="D25" s="768"/>
      <c r="E25" s="769">
        <v>55</v>
      </c>
      <c r="F25" s="769">
        <v>55</v>
      </c>
      <c r="G25" s="769">
        <v>55</v>
      </c>
      <c r="H25" s="767"/>
      <c r="I25" s="787">
        <v>55</v>
      </c>
      <c r="J25" s="788"/>
      <c r="K25" s="772"/>
      <c r="L25" s="773">
        <v>55</v>
      </c>
      <c r="M25" s="773">
        <v>55</v>
      </c>
      <c r="N25" s="20">
        <f t="shared" si="0"/>
        <v>0</v>
      </c>
      <c r="O25" s="774"/>
      <c r="P25" s="775"/>
      <c r="Q25" s="776">
        <v>55</v>
      </c>
      <c r="R25" s="777"/>
      <c r="S25" s="778">
        <v>55</v>
      </c>
    </row>
    <row r="26" spans="1:19" s="779" customFormat="1" ht="13.5">
      <c r="A26" s="765">
        <v>14</v>
      </c>
      <c r="B26" s="766" t="s">
        <v>274</v>
      </c>
      <c r="C26" s="767"/>
      <c r="D26" s="768"/>
      <c r="E26" s="769">
        <v>1000</v>
      </c>
      <c r="F26" s="769">
        <v>1000</v>
      </c>
      <c r="G26" s="769">
        <v>1000</v>
      </c>
      <c r="H26" s="767"/>
      <c r="I26" s="787">
        <v>1000</v>
      </c>
      <c r="J26" s="788"/>
      <c r="K26" s="772"/>
      <c r="L26" s="773">
        <v>3500</v>
      </c>
      <c r="M26" s="773">
        <v>3500</v>
      </c>
      <c r="N26" s="20">
        <f t="shared" si="0"/>
        <v>0</v>
      </c>
      <c r="O26" s="786"/>
      <c r="P26" s="793">
        <v>-1000</v>
      </c>
      <c r="Q26" s="776">
        <v>0</v>
      </c>
      <c r="R26" s="777"/>
      <c r="S26" s="778">
        <v>0</v>
      </c>
    </row>
    <row r="27" spans="1:19" s="779" customFormat="1" ht="13.5">
      <c r="A27" s="765">
        <v>15</v>
      </c>
      <c r="B27" s="766" t="s">
        <v>220</v>
      </c>
      <c r="C27" s="767"/>
      <c r="D27" s="768"/>
      <c r="E27" s="769">
        <v>1500</v>
      </c>
      <c r="F27" s="769">
        <v>1500</v>
      </c>
      <c r="G27" s="769">
        <v>1500</v>
      </c>
      <c r="H27" s="767"/>
      <c r="I27" s="787">
        <v>1500</v>
      </c>
      <c r="J27" s="788"/>
      <c r="K27" s="772"/>
      <c r="L27" s="773">
        <v>1500</v>
      </c>
      <c r="M27" s="773">
        <v>1500</v>
      </c>
      <c r="N27" s="20">
        <f t="shared" si="0"/>
        <v>0</v>
      </c>
      <c r="O27" s="774"/>
      <c r="P27" s="793">
        <v>-1500</v>
      </c>
      <c r="Q27" s="776">
        <v>0</v>
      </c>
      <c r="R27" s="777"/>
      <c r="S27" s="778">
        <v>0</v>
      </c>
    </row>
    <row r="28" spans="1:19" s="779" customFormat="1" ht="13.5">
      <c r="A28" s="765" t="s">
        <v>273</v>
      </c>
      <c r="B28" s="766" t="s">
        <v>272</v>
      </c>
      <c r="C28" s="767"/>
      <c r="D28" s="768"/>
      <c r="E28" s="769">
        <v>2000</v>
      </c>
      <c r="F28" s="769">
        <v>2000</v>
      </c>
      <c r="G28" s="769">
        <v>2100</v>
      </c>
      <c r="H28" s="767"/>
      <c r="I28" s="787">
        <v>2100</v>
      </c>
      <c r="J28" s="788"/>
      <c r="K28" s="772"/>
      <c r="L28" s="773">
        <v>2100</v>
      </c>
      <c r="M28" s="773">
        <v>2100</v>
      </c>
      <c r="N28" s="20">
        <f t="shared" si="0"/>
        <v>0</v>
      </c>
      <c r="O28" s="774"/>
      <c r="P28" s="775"/>
      <c r="Q28" s="776">
        <v>2100</v>
      </c>
      <c r="R28" s="777"/>
      <c r="S28" s="778">
        <v>2100</v>
      </c>
    </row>
    <row r="29" spans="1:19" s="779" customFormat="1" ht="13.5">
      <c r="A29" s="765" t="s">
        <v>271</v>
      </c>
      <c r="B29" s="766" t="s">
        <v>270</v>
      </c>
      <c r="C29" s="767"/>
      <c r="D29" s="768"/>
      <c r="E29" s="769">
        <v>950</v>
      </c>
      <c r="F29" s="769">
        <v>950</v>
      </c>
      <c r="G29" s="769">
        <v>950</v>
      </c>
      <c r="H29" s="767"/>
      <c r="I29" s="787">
        <v>1125</v>
      </c>
      <c r="J29" s="788"/>
      <c r="K29" s="772"/>
      <c r="L29" s="773">
        <v>1815</v>
      </c>
      <c r="M29" s="773">
        <v>3815</v>
      </c>
      <c r="N29" s="64">
        <f t="shared" si="0"/>
        <v>-2000</v>
      </c>
      <c r="O29" s="786"/>
      <c r="P29" s="801"/>
      <c r="Q29" s="776">
        <v>1125</v>
      </c>
      <c r="R29" s="777"/>
      <c r="S29" s="778">
        <v>1125</v>
      </c>
    </row>
    <row r="30" spans="1:19" s="779" customFormat="1" ht="13.5">
      <c r="A30" s="765">
        <v>17</v>
      </c>
      <c r="B30" s="766" t="s">
        <v>269</v>
      </c>
      <c r="C30" s="767"/>
      <c r="D30" s="768"/>
      <c r="E30" s="769">
        <v>400</v>
      </c>
      <c r="F30" s="769">
        <v>400</v>
      </c>
      <c r="G30" s="769">
        <v>400</v>
      </c>
      <c r="H30" s="767"/>
      <c r="I30" s="787">
        <v>400</v>
      </c>
      <c r="J30" s="788"/>
      <c r="K30" s="772"/>
      <c r="L30" s="773">
        <v>500</v>
      </c>
      <c r="M30" s="773">
        <v>500</v>
      </c>
      <c r="N30" s="20">
        <f t="shared" si="0"/>
        <v>0</v>
      </c>
      <c r="O30" s="774"/>
      <c r="P30" s="801"/>
      <c r="Q30" s="776">
        <v>400</v>
      </c>
      <c r="R30" s="777"/>
      <c r="S30" s="778">
        <v>400</v>
      </c>
    </row>
    <row r="31" spans="1:19" s="779" customFormat="1" ht="13.5">
      <c r="A31" s="765">
        <v>18</v>
      </c>
      <c r="B31" s="766" t="s">
        <v>268</v>
      </c>
      <c r="C31" s="767"/>
      <c r="D31" s="768"/>
      <c r="E31" s="769">
        <v>400</v>
      </c>
      <c r="F31" s="769">
        <v>400</v>
      </c>
      <c r="G31" s="769">
        <v>400</v>
      </c>
      <c r="H31" s="767"/>
      <c r="I31" s="787">
        <v>400</v>
      </c>
      <c r="J31" s="788"/>
      <c r="K31" s="772"/>
      <c r="L31" s="773">
        <v>400</v>
      </c>
      <c r="M31" s="773">
        <v>400</v>
      </c>
      <c r="N31" s="136">
        <f t="shared" si="0"/>
        <v>0</v>
      </c>
      <c r="O31" s="774"/>
      <c r="P31" s="801"/>
      <c r="Q31" s="776">
        <v>400</v>
      </c>
      <c r="R31" s="777"/>
      <c r="S31" s="778">
        <v>400</v>
      </c>
    </row>
    <row r="32" spans="1:19" ht="14.25" thickBot="1">
      <c r="A32" s="780">
        <v>19</v>
      </c>
      <c r="B32" s="760" t="s">
        <v>267</v>
      </c>
      <c r="C32" s="18"/>
      <c r="D32" s="17"/>
      <c r="E32" s="98">
        <v>3000</v>
      </c>
      <c r="F32" s="98">
        <v>3000</v>
      </c>
      <c r="G32" s="98">
        <v>3000</v>
      </c>
      <c r="H32" s="18"/>
      <c r="I32" s="583">
        <v>2000</v>
      </c>
      <c r="J32" s="518"/>
      <c r="K32" s="519"/>
      <c r="L32" s="429">
        <v>2000</v>
      </c>
      <c r="M32" s="429">
        <v>2000</v>
      </c>
      <c r="N32" s="447">
        <f aca="true" t="shared" si="1" ref="N32:N45">SUM(L32-M32)</f>
        <v>0</v>
      </c>
      <c r="O32" s="14"/>
      <c r="P32" s="781"/>
      <c r="Q32" s="782">
        <v>2000</v>
      </c>
      <c r="R32" s="783"/>
      <c r="S32" s="784">
        <v>2000</v>
      </c>
    </row>
    <row r="33" spans="1:24" ht="17.25" customHeight="1" thickBot="1">
      <c r="A33" s="485"/>
      <c r="B33" s="486"/>
      <c r="C33" s="164"/>
      <c r="D33" s="17"/>
      <c r="E33" s="164"/>
      <c r="F33" s="164"/>
      <c r="G33" s="164"/>
      <c r="H33" s="164"/>
      <c r="I33" s="487"/>
      <c r="J33" s="488"/>
      <c r="K33" s="488"/>
      <c r="L33" s="489"/>
      <c r="M33" s="489"/>
      <c r="N33" s="409"/>
      <c r="O33" s="163"/>
      <c r="Q33" s="1">
        <v>0</v>
      </c>
      <c r="S33" s="1">
        <v>0</v>
      </c>
      <c r="X33" s="159"/>
    </row>
    <row r="34" spans="1:22" ht="14.25" thickBot="1">
      <c r="A34" s="490"/>
      <c r="B34" s="555" t="s">
        <v>717</v>
      </c>
      <c r="C34" s="492"/>
      <c r="D34" s="493"/>
      <c r="E34" s="494">
        <v>3374415.76</v>
      </c>
      <c r="F34" s="494">
        <v>3053815.79</v>
      </c>
      <c r="G34" s="495">
        <f>SUM(G35,G36,G38,G43,G44,G47:G94)</f>
        <v>3008670.46375</v>
      </c>
      <c r="H34" s="496"/>
      <c r="I34" s="496">
        <v>4492016.45</v>
      </c>
      <c r="J34" s="497">
        <v>-161000</v>
      </c>
      <c r="K34" s="498">
        <v>-991579</v>
      </c>
      <c r="L34" s="499">
        <f>SUM(L35:L41)</f>
        <v>-546051</v>
      </c>
      <c r="M34" s="499">
        <f>SUM(M35:M41)</f>
        <v>-676300</v>
      </c>
      <c r="N34" s="748">
        <f>SUM(L34-M34)</f>
        <v>130249</v>
      </c>
      <c r="O34" s="654"/>
      <c r="P34" s="162">
        <v>0</v>
      </c>
      <c r="Q34" s="161">
        <v>3851771.45</v>
      </c>
      <c r="R34" s="161">
        <v>0</v>
      </c>
      <c r="S34" s="160"/>
      <c r="V34" s="159">
        <v>163100.98625000007</v>
      </c>
    </row>
    <row r="35" spans="1:19" s="28" customFormat="1" ht="13.5">
      <c r="A35" s="500"/>
      <c r="B35" s="501" t="s">
        <v>563</v>
      </c>
      <c r="C35" s="502"/>
      <c r="D35" s="503"/>
      <c r="E35" s="20">
        <v>0</v>
      </c>
      <c r="F35" s="20">
        <v>0</v>
      </c>
      <c r="G35" s="504"/>
      <c r="H35" s="502"/>
      <c r="I35" s="502">
        <v>0</v>
      </c>
      <c r="J35" s="505"/>
      <c r="K35" s="506"/>
      <c r="L35" s="507">
        <v>-20000</v>
      </c>
      <c r="M35" s="507">
        <v>-20000</v>
      </c>
      <c r="N35" s="20">
        <f t="shared" si="1"/>
        <v>0</v>
      </c>
      <c r="O35" s="652"/>
      <c r="P35" s="155"/>
      <c r="Q35" s="154">
        <v>0</v>
      </c>
      <c r="R35" s="154"/>
      <c r="S35" s="153">
        <v>0</v>
      </c>
    </row>
    <row r="36" spans="1:19" s="28" customFormat="1" ht="13.5">
      <c r="A36" s="500"/>
      <c r="B36" s="508" t="s">
        <v>823</v>
      </c>
      <c r="C36" s="502"/>
      <c r="D36" s="503"/>
      <c r="E36" s="20">
        <v>-23000</v>
      </c>
      <c r="F36" s="20">
        <v>-23000</v>
      </c>
      <c r="G36" s="504">
        <v>-65000</v>
      </c>
      <c r="H36" s="502"/>
      <c r="I36" s="502"/>
      <c r="J36" s="505"/>
      <c r="K36" s="400">
        <v>-147000</v>
      </c>
      <c r="L36" s="507">
        <v>-80000</v>
      </c>
      <c r="M36" s="507">
        <v>-80000</v>
      </c>
      <c r="N36" s="20">
        <f t="shared" si="1"/>
        <v>0</v>
      </c>
      <c r="O36" s="509"/>
      <c r="P36" s="155"/>
      <c r="Q36" s="154">
        <v>-147000</v>
      </c>
      <c r="R36" s="154"/>
      <c r="S36" s="153">
        <v>-147000</v>
      </c>
    </row>
    <row r="37" spans="1:19" s="28" customFormat="1" ht="13.5">
      <c r="A37" s="500"/>
      <c r="B37" s="508" t="s">
        <v>852</v>
      </c>
      <c r="C37" s="502"/>
      <c r="D37" s="503"/>
      <c r="E37" s="20"/>
      <c r="F37" s="20"/>
      <c r="G37" s="504"/>
      <c r="H37" s="502"/>
      <c r="I37" s="502"/>
      <c r="J37" s="505"/>
      <c r="K37" s="400"/>
      <c r="L37" s="507"/>
      <c r="M37" s="507">
        <v>-30000</v>
      </c>
      <c r="N37" s="20"/>
      <c r="O37" s="509"/>
      <c r="P37" s="155"/>
      <c r="Q37" s="154"/>
      <c r="R37" s="154"/>
      <c r="S37" s="153"/>
    </row>
    <row r="38" spans="1:19" s="28" customFormat="1" ht="13.5">
      <c r="A38" s="500"/>
      <c r="B38" s="508" t="s">
        <v>264</v>
      </c>
      <c r="C38" s="502"/>
      <c r="D38" s="503"/>
      <c r="E38" s="20">
        <v>-72000</v>
      </c>
      <c r="F38" s="20">
        <v>0</v>
      </c>
      <c r="G38" s="504">
        <v>-189468</v>
      </c>
      <c r="H38" s="502"/>
      <c r="I38" s="502"/>
      <c r="J38" s="505"/>
      <c r="K38" s="400">
        <v>-144579</v>
      </c>
      <c r="L38" s="507">
        <v>-147646</v>
      </c>
      <c r="M38" s="507">
        <v>-165000</v>
      </c>
      <c r="N38" s="20">
        <f t="shared" si="1"/>
        <v>17354</v>
      </c>
      <c r="O38" s="638"/>
      <c r="P38" s="155"/>
      <c r="Q38" s="154">
        <v>-144579</v>
      </c>
      <c r="R38" s="154"/>
      <c r="S38" s="153">
        <v>-144579</v>
      </c>
    </row>
    <row r="39" spans="1:19" s="28" customFormat="1" ht="13.5">
      <c r="A39" s="500"/>
      <c r="B39" s="508" t="s">
        <v>586</v>
      </c>
      <c r="C39" s="502"/>
      <c r="D39" s="503"/>
      <c r="E39" s="20"/>
      <c r="F39" s="20"/>
      <c r="G39" s="504"/>
      <c r="H39" s="502"/>
      <c r="I39" s="502"/>
      <c r="J39" s="505"/>
      <c r="K39" s="400"/>
      <c r="L39" s="507">
        <v>-28405</v>
      </c>
      <c r="M39" s="507">
        <v>-31300</v>
      </c>
      <c r="N39" s="20">
        <f t="shared" si="1"/>
        <v>2895</v>
      </c>
      <c r="O39" s="655"/>
      <c r="P39" s="155"/>
      <c r="Q39" s="154"/>
      <c r="R39" s="154"/>
      <c r="S39" s="153"/>
    </row>
    <row r="40" spans="1:19" s="28" customFormat="1" ht="13.5">
      <c r="A40" s="500"/>
      <c r="B40" s="508" t="s">
        <v>548</v>
      </c>
      <c r="C40" s="502"/>
      <c r="D40" s="503"/>
      <c r="E40" s="20">
        <v>0</v>
      </c>
      <c r="F40" s="20">
        <v>0</v>
      </c>
      <c r="G40" s="504"/>
      <c r="H40" s="502"/>
      <c r="I40" s="502">
        <v>0</v>
      </c>
      <c r="J40" s="505"/>
      <c r="K40" s="506"/>
      <c r="L40" s="507">
        <v>-150000</v>
      </c>
      <c r="M40" s="507">
        <v>-150000</v>
      </c>
      <c r="N40" s="20">
        <f>SUM(L40-M40)</f>
        <v>0</v>
      </c>
      <c r="O40" s="653"/>
      <c r="P40" s="155"/>
      <c r="Q40" s="154">
        <v>0</v>
      </c>
      <c r="R40" s="154"/>
      <c r="S40" s="153">
        <v>0</v>
      </c>
    </row>
    <row r="41" spans="1:24" s="91" customFormat="1" ht="14.25" thickBot="1">
      <c r="A41" s="558"/>
      <c r="B41" s="816" t="s">
        <v>778</v>
      </c>
      <c r="C41" s="403"/>
      <c r="D41" s="59"/>
      <c r="E41" s="64"/>
      <c r="F41" s="418"/>
      <c r="G41" s="403"/>
      <c r="H41" s="403"/>
      <c r="I41" s="21"/>
      <c r="J41" s="564"/>
      <c r="K41" s="521"/>
      <c r="L41" s="817">
        <v>-120000</v>
      </c>
      <c r="M41" s="817">
        <v>-200000</v>
      </c>
      <c r="N41" s="403">
        <f>SUM(L41-M41)</f>
        <v>80000</v>
      </c>
      <c r="O41" s="774"/>
      <c r="P41" s="818"/>
      <c r="Q41" s="819"/>
      <c r="R41" s="819"/>
      <c r="S41" s="820"/>
      <c r="W41" s="824"/>
      <c r="X41" s="824"/>
    </row>
    <row r="42" spans="1:19" s="108" customFormat="1" ht="14.25" thickBot="1">
      <c r="A42" s="490"/>
      <c r="B42" s="667" t="s">
        <v>716</v>
      </c>
      <c r="C42" s="553"/>
      <c r="D42" s="668"/>
      <c r="E42" s="552"/>
      <c r="F42" s="669"/>
      <c r="G42" s="553"/>
      <c r="H42" s="553"/>
      <c r="I42" s="670"/>
      <c r="J42" s="671"/>
      <c r="K42" s="672"/>
      <c r="L42" s="677">
        <f>SUM(L43:L45)</f>
        <v>-588000</v>
      </c>
      <c r="M42" s="646">
        <f>SUM(M43:M45)</f>
        <v>-587000</v>
      </c>
      <c r="N42" s="748">
        <f>SUM(L42-M42)</f>
        <v>-1000</v>
      </c>
      <c r="O42" s="673"/>
      <c r="P42" s="674"/>
      <c r="Q42" s="675"/>
      <c r="R42" s="675"/>
      <c r="S42" s="676"/>
    </row>
    <row r="43" spans="1:19" s="28" customFormat="1" ht="13.5">
      <c r="A43" s="500"/>
      <c r="B43" s="508" t="s">
        <v>263</v>
      </c>
      <c r="C43" s="502"/>
      <c r="D43" s="503"/>
      <c r="E43" s="20">
        <v>-320000</v>
      </c>
      <c r="F43" s="20">
        <v>-310000</v>
      </c>
      <c r="G43" s="504">
        <v>-340000</v>
      </c>
      <c r="H43" s="502"/>
      <c r="I43" s="502"/>
      <c r="J43" s="505"/>
      <c r="K43" s="400">
        <v>-300000</v>
      </c>
      <c r="L43" s="507">
        <v>-300000</v>
      </c>
      <c r="M43" s="507">
        <v>-313000</v>
      </c>
      <c r="N43" s="20">
        <f>SUM(L43-M43)</f>
        <v>13000</v>
      </c>
      <c r="O43" s="638"/>
      <c r="P43" s="155"/>
      <c r="Q43" s="154"/>
      <c r="R43" s="154"/>
      <c r="S43" s="153"/>
    </row>
    <row r="44" spans="1:19" s="28" customFormat="1" ht="13.5">
      <c r="A44" s="500"/>
      <c r="B44" s="508" t="s">
        <v>262</v>
      </c>
      <c r="C44" s="502"/>
      <c r="D44" s="503"/>
      <c r="E44" s="20">
        <v>-195000</v>
      </c>
      <c r="F44" s="20">
        <v>-175000</v>
      </c>
      <c r="G44" s="504">
        <v>-366078</v>
      </c>
      <c r="H44" s="502"/>
      <c r="I44" s="502"/>
      <c r="J44" s="505"/>
      <c r="K44" s="400">
        <v>-300000</v>
      </c>
      <c r="L44" s="507">
        <v>-270000</v>
      </c>
      <c r="M44" s="507">
        <v>-256000</v>
      </c>
      <c r="N44" s="20">
        <f t="shared" si="1"/>
        <v>-14000</v>
      </c>
      <c r="O44" s="639"/>
      <c r="P44" s="158"/>
      <c r="Q44" s="154"/>
      <c r="R44" s="154"/>
      <c r="S44" s="153"/>
    </row>
    <row r="45" spans="1:19" s="39" customFormat="1" ht="14.25" thickBot="1">
      <c r="A45" s="510"/>
      <c r="B45" s="508" t="s">
        <v>545</v>
      </c>
      <c r="C45" s="511"/>
      <c r="D45" s="512"/>
      <c r="E45" s="513">
        <v>0</v>
      </c>
      <c r="F45" s="513">
        <v>0</v>
      </c>
      <c r="G45" s="514"/>
      <c r="H45" s="511"/>
      <c r="I45" s="511"/>
      <c r="J45" s="515"/>
      <c r="K45" s="516"/>
      <c r="L45" s="507">
        <v>-18000</v>
      </c>
      <c r="M45" s="854">
        <v>-18000</v>
      </c>
      <c r="N45" s="20">
        <f t="shared" si="1"/>
        <v>0</v>
      </c>
      <c r="O45" s="638"/>
      <c r="P45" s="155"/>
      <c r="Q45" s="157"/>
      <c r="R45" s="157"/>
      <c r="S45" s="156"/>
    </row>
    <row r="46" spans="1:19" s="108" customFormat="1" ht="14.25" thickBot="1">
      <c r="A46" s="490"/>
      <c r="B46" s="667" t="s">
        <v>266</v>
      </c>
      <c r="C46" s="553"/>
      <c r="D46" s="668"/>
      <c r="E46" s="552"/>
      <c r="F46" s="669"/>
      <c r="G46" s="553"/>
      <c r="H46" s="553"/>
      <c r="I46" s="670"/>
      <c r="J46" s="671"/>
      <c r="K46" s="672"/>
      <c r="L46" s="556">
        <f>SUM(L47:L94)</f>
        <v>4033750</v>
      </c>
      <c r="M46" s="855">
        <f>SUM(M47:M94)</f>
        <v>3858652.8649999998</v>
      </c>
      <c r="N46" s="748">
        <f>SUM(L46-M46)</f>
        <v>175097.13500000024</v>
      </c>
      <c r="O46" s="673"/>
      <c r="P46" s="674"/>
      <c r="Q46" s="675"/>
      <c r="R46" s="675"/>
      <c r="S46" s="676"/>
    </row>
    <row r="47" spans="1:19" s="28" customFormat="1" ht="13.5">
      <c r="A47" s="150">
        <v>38</v>
      </c>
      <c r="B47" s="149" t="s">
        <v>260</v>
      </c>
      <c r="C47" s="44"/>
      <c r="D47" s="22"/>
      <c r="E47" s="136">
        <v>94441</v>
      </c>
      <c r="F47" s="402">
        <v>75000</v>
      </c>
      <c r="G47" s="423">
        <v>97746.435</v>
      </c>
      <c r="H47" s="403"/>
      <c r="I47" s="537">
        <v>106176</v>
      </c>
      <c r="J47" s="520"/>
      <c r="K47" s="482"/>
      <c r="L47" s="446">
        <v>95708</v>
      </c>
      <c r="M47" s="446">
        <f>OTHER!C36</f>
        <v>102122</v>
      </c>
      <c r="N47" s="136">
        <f aca="true" t="shared" si="2" ref="N47:N94">SUM(L47-M47)</f>
        <v>-6414</v>
      </c>
      <c r="O47" s="43"/>
      <c r="P47" s="148"/>
      <c r="Q47" s="147">
        <v>106176</v>
      </c>
      <c r="R47" s="146"/>
      <c r="S47" s="84">
        <v>106176</v>
      </c>
    </row>
    <row r="48" spans="1:19" s="28" customFormat="1" ht="13.5">
      <c r="A48" s="33">
        <v>39</v>
      </c>
      <c r="B48" s="103" t="s">
        <v>587</v>
      </c>
      <c r="C48" s="44"/>
      <c r="D48" s="22"/>
      <c r="E48" s="20">
        <v>0</v>
      </c>
      <c r="F48" s="400">
        <v>0</v>
      </c>
      <c r="G48" s="422">
        <v>0</v>
      </c>
      <c r="H48" s="403"/>
      <c r="I48" s="406">
        <v>0</v>
      </c>
      <c r="J48" s="520"/>
      <c r="K48" s="482"/>
      <c r="L48" s="430">
        <v>38519</v>
      </c>
      <c r="M48" s="430">
        <f>SPED!C10</f>
        <v>39732</v>
      </c>
      <c r="N48" s="20">
        <f t="shared" si="2"/>
        <v>-1213</v>
      </c>
      <c r="O48" s="24"/>
      <c r="P48" s="134"/>
      <c r="Q48" s="37">
        <v>0</v>
      </c>
      <c r="R48" s="36"/>
      <c r="S48" s="35">
        <v>0</v>
      </c>
    </row>
    <row r="49" spans="1:19" s="28" customFormat="1" ht="13.5">
      <c r="A49" s="33">
        <v>40</v>
      </c>
      <c r="B49" s="144" t="s">
        <v>259</v>
      </c>
      <c r="C49" s="44"/>
      <c r="D49" s="22"/>
      <c r="E49" s="20">
        <v>40000</v>
      </c>
      <c r="F49" s="400">
        <v>35000</v>
      </c>
      <c r="G49" s="420">
        <v>40000</v>
      </c>
      <c r="H49" s="403"/>
      <c r="I49" s="406">
        <v>40000</v>
      </c>
      <c r="J49" s="520"/>
      <c r="K49" s="482"/>
      <c r="L49" s="430">
        <v>47000</v>
      </c>
      <c r="M49" s="430">
        <v>45000</v>
      </c>
      <c r="N49" s="20">
        <f t="shared" si="2"/>
        <v>2000</v>
      </c>
      <c r="O49" s="24"/>
      <c r="P49" s="134"/>
      <c r="Q49" s="37">
        <v>40000</v>
      </c>
      <c r="R49" s="36"/>
      <c r="S49" s="35">
        <v>40000</v>
      </c>
    </row>
    <row r="50" spans="1:19" s="28" customFormat="1" ht="13.5" hidden="1">
      <c r="A50" s="145" t="s">
        <v>258</v>
      </c>
      <c r="B50" s="144"/>
      <c r="C50" s="44"/>
      <c r="D50" s="22"/>
      <c r="E50" s="20">
        <v>0</v>
      </c>
      <c r="F50" s="400">
        <v>0</v>
      </c>
      <c r="G50" s="422">
        <v>0</v>
      </c>
      <c r="H50" s="403"/>
      <c r="I50" s="406">
        <v>0</v>
      </c>
      <c r="J50" s="520"/>
      <c r="K50" s="482"/>
      <c r="L50" s="430">
        <v>0</v>
      </c>
      <c r="M50" s="430"/>
      <c r="N50" s="20">
        <f t="shared" si="2"/>
        <v>0</v>
      </c>
      <c r="O50" s="852"/>
      <c r="P50" s="134"/>
      <c r="Q50" s="37">
        <v>0</v>
      </c>
      <c r="R50" s="36"/>
      <c r="S50" s="35">
        <v>0</v>
      </c>
    </row>
    <row r="51" spans="1:19" s="28" customFormat="1" ht="13.5">
      <c r="A51" s="33" t="s">
        <v>257</v>
      </c>
      <c r="B51" s="144" t="s">
        <v>256</v>
      </c>
      <c r="C51" s="44"/>
      <c r="D51" s="22" t="s">
        <v>34</v>
      </c>
      <c r="E51" s="20">
        <v>183958</v>
      </c>
      <c r="F51" s="400">
        <v>128208</v>
      </c>
      <c r="G51" s="420">
        <v>192937</v>
      </c>
      <c r="H51" s="403"/>
      <c r="I51" s="406">
        <v>267214</v>
      </c>
      <c r="J51" s="520"/>
      <c r="K51" s="482"/>
      <c r="L51" s="430">
        <v>199904</v>
      </c>
      <c r="M51" s="430">
        <f>SPED!C7</f>
        <v>181470</v>
      </c>
      <c r="N51" s="400">
        <f t="shared" si="2"/>
        <v>18434</v>
      </c>
      <c r="O51" s="853"/>
      <c r="P51" s="134"/>
      <c r="Q51" s="37">
        <v>267214</v>
      </c>
      <c r="R51" s="36"/>
      <c r="S51" s="35">
        <v>267214</v>
      </c>
    </row>
    <row r="52" spans="1:19" s="28" customFormat="1" ht="13.5" hidden="1">
      <c r="A52" s="33" t="s">
        <v>255</v>
      </c>
      <c r="B52" s="103" t="s">
        <v>254</v>
      </c>
      <c r="C52" s="44"/>
      <c r="D52" s="22" t="s">
        <v>34</v>
      </c>
      <c r="E52" s="20">
        <v>234160.76</v>
      </c>
      <c r="F52" s="400">
        <v>240410</v>
      </c>
      <c r="G52" s="423">
        <v>406502</v>
      </c>
      <c r="H52" s="403"/>
      <c r="I52" s="406">
        <v>74299</v>
      </c>
      <c r="J52" s="520"/>
      <c r="K52" s="482"/>
      <c r="L52" s="430"/>
      <c r="M52" s="430"/>
      <c r="N52" s="20">
        <f t="shared" si="2"/>
        <v>0</v>
      </c>
      <c r="O52" s="43"/>
      <c r="P52" s="135"/>
      <c r="Q52" s="37">
        <v>74299</v>
      </c>
      <c r="R52" s="36"/>
      <c r="S52" s="35">
        <v>74299</v>
      </c>
    </row>
    <row r="53" spans="1:19" s="28" customFormat="1" ht="13.5">
      <c r="A53" s="33" t="s">
        <v>253</v>
      </c>
      <c r="B53" s="103" t="s">
        <v>252</v>
      </c>
      <c r="C53" s="44"/>
      <c r="D53" s="22" t="s">
        <v>34</v>
      </c>
      <c r="E53" s="20">
        <v>321365</v>
      </c>
      <c r="F53" s="400">
        <v>356149</v>
      </c>
      <c r="G53" s="423">
        <v>389681</v>
      </c>
      <c r="H53" s="403"/>
      <c r="I53" s="406">
        <v>472937</v>
      </c>
      <c r="J53" s="520"/>
      <c r="K53" s="482"/>
      <c r="L53" s="430">
        <v>405936</v>
      </c>
      <c r="M53" s="430">
        <f>SPED!C25</f>
        <v>304416</v>
      </c>
      <c r="N53" s="20">
        <f t="shared" si="2"/>
        <v>101520</v>
      </c>
      <c r="O53" s="24"/>
      <c r="P53" s="135"/>
      <c r="Q53" s="37">
        <v>472937</v>
      </c>
      <c r="R53" s="36"/>
      <c r="S53" s="35">
        <v>472937</v>
      </c>
    </row>
    <row r="54" spans="1:19" s="28" customFormat="1" ht="13.5">
      <c r="A54" s="33" t="s">
        <v>251</v>
      </c>
      <c r="B54" s="103" t="s">
        <v>250</v>
      </c>
      <c r="C54" s="44"/>
      <c r="D54" s="22" t="s">
        <v>34</v>
      </c>
      <c r="E54" s="20">
        <v>183834</v>
      </c>
      <c r="F54" s="400">
        <v>173323</v>
      </c>
      <c r="G54" s="423">
        <v>200669</v>
      </c>
      <c r="H54" s="403"/>
      <c r="I54" s="406">
        <v>274295</v>
      </c>
      <c r="J54" s="520"/>
      <c r="K54" s="482"/>
      <c r="L54" s="430">
        <v>293740</v>
      </c>
      <c r="M54" s="430">
        <f>SPED!C35</f>
        <v>305826</v>
      </c>
      <c r="N54" s="20">
        <f t="shared" si="2"/>
        <v>-12086</v>
      </c>
      <c r="O54" s="24"/>
      <c r="P54" s="134"/>
      <c r="Q54" s="37">
        <v>274295</v>
      </c>
      <c r="R54" s="36"/>
      <c r="S54" s="35">
        <v>274295</v>
      </c>
    </row>
    <row r="55" spans="1:19" s="28" customFormat="1" ht="13.5">
      <c r="A55" s="33">
        <v>42</v>
      </c>
      <c r="B55" s="103" t="s">
        <v>249</v>
      </c>
      <c r="C55" s="23"/>
      <c r="D55" s="22" t="s">
        <v>34</v>
      </c>
      <c r="E55" s="20">
        <v>5000</v>
      </c>
      <c r="F55" s="400">
        <v>5000</v>
      </c>
      <c r="G55" s="423">
        <v>5150</v>
      </c>
      <c r="H55" s="403"/>
      <c r="I55" s="406">
        <v>55515</v>
      </c>
      <c r="J55" s="520"/>
      <c r="K55" s="482"/>
      <c r="L55" s="430">
        <v>9165</v>
      </c>
      <c r="M55" s="430">
        <f>SPED!C114</f>
        <v>9165</v>
      </c>
      <c r="N55" s="20">
        <f t="shared" si="2"/>
        <v>0</v>
      </c>
      <c r="O55" s="24"/>
      <c r="P55" s="134"/>
      <c r="Q55" s="37">
        <v>55515</v>
      </c>
      <c r="R55" s="36"/>
      <c r="S55" s="35">
        <v>55515</v>
      </c>
    </row>
    <row r="56" spans="1:19" s="80" customFormat="1" ht="13.5" hidden="1">
      <c r="A56" s="139">
        <v>43</v>
      </c>
      <c r="B56" s="143" t="s">
        <v>248</v>
      </c>
      <c r="C56" s="142"/>
      <c r="D56" s="141" t="s">
        <v>34</v>
      </c>
      <c r="E56" s="95">
        <v>0</v>
      </c>
      <c r="F56" s="401">
        <v>0</v>
      </c>
      <c r="G56" s="421">
        <v>0</v>
      </c>
      <c r="H56" s="404"/>
      <c r="I56" s="522">
        <v>0</v>
      </c>
      <c r="J56" s="523"/>
      <c r="K56" s="482"/>
      <c r="L56" s="430">
        <v>0</v>
      </c>
      <c r="M56" s="430"/>
      <c r="N56" s="20">
        <f t="shared" si="2"/>
        <v>0</v>
      </c>
      <c r="O56" s="140"/>
      <c r="P56" s="134"/>
      <c r="Q56" s="37">
        <v>0</v>
      </c>
      <c r="R56" s="36"/>
      <c r="S56" s="35">
        <v>0</v>
      </c>
    </row>
    <row r="57" spans="1:19" s="80" customFormat="1" ht="13.5">
      <c r="A57" s="139">
        <v>44</v>
      </c>
      <c r="B57" s="103" t="s">
        <v>247</v>
      </c>
      <c r="C57" s="23"/>
      <c r="D57" s="22"/>
      <c r="E57" s="20">
        <v>60000</v>
      </c>
      <c r="F57" s="400">
        <v>60000</v>
      </c>
      <c r="G57" s="420">
        <v>65000</v>
      </c>
      <c r="H57" s="403"/>
      <c r="I57" s="406">
        <v>65000</v>
      </c>
      <c r="J57" s="520"/>
      <c r="K57" s="482"/>
      <c r="L57" s="430">
        <v>65000</v>
      </c>
      <c r="M57" s="430">
        <v>65000</v>
      </c>
      <c r="N57" s="20">
        <f t="shared" si="2"/>
        <v>0</v>
      </c>
      <c r="O57" s="24"/>
      <c r="P57" s="134"/>
      <c r="Q57" s="37">
        <v>65000</v>
      </c>
      <c r="R57" s="36"/>
      <c r="S57" s="35">
        <v>65000</v>
      </c>
    </row>
    <row r="58" spans="1:19" s="28" customFormat="1" ht="13.5">
      <c r="A58" s="33" t="s">
        <v>246</v>
      </c>
      <c r="B58" s="103" t="s">
        <v>245</v>
      </c>
      <c r="C58" s="23"/>
      <c r="D58" s="22" t="s">
        <v>34</v>
      </c>
      <c r="E58" s="20">
        <v>49500</v>
      </c>
      <c r="F58" s="400">
        <v>49500</v>
      </c>
      <c r="G58" s="423">
        <v>53650.125</v>
      </c>
      <c r="H58" s="403"/>
      <c r="I58" s="406">
        <v>42319</v>
      </c>
      <c r="J58" s="520"/>
      <c r="K58" s="482"/>
      <c r="L58" s="430">
        <v>36649</v>
      </c>
      <c r="M58" s="430">
        <f>SPED!C118</f>
        <v>44028</v>
      </c>
      <c r="N58" s="20">
        <f t="shared" si="2"/>
        <v>-7379</v>
      </c>
      <c r="O58" s="24"/>
      <c r="P58" s="134"/>
      <c r="Q58" s="37">
        <v>42319</v>
      </c>
      <c r="R58" s="36"/>
      <c r="S58" s="35">
        <v>42319</v>
      </c>
    </row>
    <row r="59" spans="1:19" s="28" customFormat="1" ht="13.5">
      <c r="A59" s="33" t="s">
        <v>244</v>
      </c>
      <c r="B59" s="103" t="s">
        <v>243</v>
      </c>
      <c r="C59" s="23"/>
      <c r="D59" s="22" t="s">
        <v>34</v>
      </c>
      <c r="E59" s="20">
        <v>0</v>
      </c>
      <c r="F59" s="400">
        <v>0</v>
      </c>
      <c r="G59" s="423">
        <v>8000</v>
      </c>
      <c r="H59" s="403"/>
      <c r="I59" s="406">
        <v>2000</v>
      </c>
      <c r="J59" s="520"/>
      <c r="K59" s="482"/>
      <c r="L59" s="430">
        <v>2000</v>
      </c>
      <c r="M59" s="430">
        <v>0</v>
      </c>
      <c r="N59" s="20">
        <f t="shared" si="2"/>
        <v>2000</v>
      </c>
      <c r="O59" s="24"/>
      <c r="P59" s="134"/>
      <c r="Q59" s="37">
        <v>2000</v>
      </c>
      <c r="R59" s="36"/>
      <c r="S59" s="35">
        <v>2000</v>
      </c>
    </row>
    <row r="60" spans="1:19" s="28" customFormat="1" ht="13.5" hidden="1">
      <c r="A60" s="524" t="s">
        <v>242</v>
      </c>
      <c r="B60" s="103"/>
      <c r="C60" s="23"/>
      <c r="D60" s="22"/>
      <c r="E60" s="20">
        <v>0</v>
      </c>
      <c r="F60" s="400">
        <v>0</v>
      </c>
      <c r="G60" s="422">
        <v>0</v>
      </c>
      <c r="H60" s="403"/>
      <c r="I60" s="406">
        <v>0</v>
      </c>
      <c r="J60" s="520"/>
      <c r="K60" s="482"/>
      <c r="L60" s="432">
        <v>0</v>
      </c>
      <c r="M60" s="432"/>
      <c r="N60" s="20">
        <f t="shared" si="2"/>
        <v>0</v>
      </c>
      <c r="O60" s="24"/>
      <c r="P60" s="134"/>
      <c r="Q60" s="37">
        <v>0</v>
      </c>
      <c r="R60" s="36"/>
      <c r="S60" s="35">
        <v>0</v>
      </c>
    </row>
    <row r="61" spans="1:19" s="28" customFormat="1" ht="13.5" hidden="1">
      <c r="A61" s="33" t="s">
        <v>241</v>
      </c>
      <c r="B61" s="103" t="s">
        <v>240</v>
      </c>
      <c r="C61" s="23"/>
      <c r="D61" s="22" t="s">
        <v>34</v>
      </c>
      <c r="E61" s="20">
        <v>38125</v>
      </c>
      <c r="F61" s="400">
        <v>24273.03</v>
      </c>
      <c r="G61" s="424">
        <v>133319</v>
      </c>
      <c r="H61" s="403"/>
      <c r="I61" s="406"/>
      <c r="J61" s="520"/>
      <c r="K61" s="482"/>
      <c r="L61" s="433"/>
      <c r="M61" s="433"/>
      <c r="N61" s="20">
        <f t="shared" si="2"/>
        <v>0</v>
      </c>
      <c r="O61" s="24"/>
      <c r="P61" s="134"/>
      <c r="Q61" s="37">
        <v>0</v>
      </c>
      <c r="R61" s="36"/>
      <c r="S61" s="35">
        <v>0</v>
      </c>
    </row>
    <row r="62" spans="1:19" s="28" customFormat="1" ht="12.75" customHeight="1">
      <c r="A62" s="33" t="s">
        <v>239</v>
      </c>
      <c r="B62" s="103" t="s">
        <v>829</v>
      </c>
      <c r="C62" s="23"/>
      <c r="D62" s="22" t="s">
        <v>34</v>
      </c>
      <c r="E62" s="20">
        <v>85262</v>
      </c>
      <c r="F62" s="400">
        <v>76517.76000000001</v>
      </c>
      <c r="G62" s="420">
        <v>139456</v>
      </c>
      <c r="H62" s="403"/>
      <c r="I62" s="406">
        <v>183766</v>
      </c>
      <c r="J62" s="520"/>
      <c r="K62" s="482"/>
      <c r="L62" s="430">
        <v>82273</v>
      </c>
      <c r="M62" s="430">
        <f>SPED!C65</f>
        <v>86253.875</v>
      </c>
      <c r="N62" s="20">
        <f t="shared" si="2"/>
        <v>-3980.875</v>
      </c>
      <c r="O62" s="121"/>
      <c r="P62" s="134"/>
      <c r="Q62" s="37">
        <v>179766</v>
      </c>
      <c r="R62" s="36"/>
      <c r="S62" s="35">
        <v>179766</v>
      </c>
    </row>
    <row r="63" spans="1:19" s="28" customFormat="1" ht="13.5">
      <c r="A63" s="33" t="s">
        <v>238</v>
      </c>
      <c r="B63" s="103" t="s">
        <v>830</v>
      </c>
      <c r="C63" s="23"/>
      <c r="D63" s="22" t="s">
        <v>34</v>
      </c>
      <c r="E63" s="20">
        <v>189455</v>
      </c>
      <c r="F63" s="400">
        <v>157556</v>
      </c>
      <c r="G63" s="420">
        <v>193528.90375</v>
      </c>
      <c r="H63" s="403"/>
      <c r="I63" s="406">
        <v>325455</v>
      </c>
      <c r="J63" s="520"/>
      <c r="K63" s="482"/>
      <c r="L63" s="430">
        <v>307691</v>
      </c>
      <c r="M63" s="430">
        <f>SPED!C86</f>
        <v>215280.75</v>
      </c>
      <c r="N63" s="20">
        <f t="shared" si="2"/>
        <v>92410.25</v>
      </c>
      <c r="O63" s="24"/>
      <c r="P63" s="135"/>
      <c r="Q63" s="37">
        <v>285903</v>
      </c>
      <c r="R63" s="36"/>
      <c r="S63" s="35">
        <v>285903</v>
      </c>
    </row>
    <row r="64" spans="1:19" s="28" customFormat="1" ht="13.5">
      <c r="A64" s="33" t="s">
        <v>237</v>
      </c>
      <c r="B64" s="103" t="s">
        <v>831</v>
      </c>
      <c r="C64" s="23"/>
      <c r="D64" s="22" t="s">
        <v>34</v>
      </c>
      <c r="E64" s="20">
        <v>123279</v>
      </c>
      <c r="F64" s="400">
        <v>103300</v>
      </c>
      <c r="G64" s="420">
        <v>186205</v>
      </c>
      <c r="H64" s="403"/>
      <c r="I64" s="406">
        <v>313802</v>
      </c>
      <c r="J64" s="520"/>
      <c r="K64" s="482"/>
      <c r="L64" s="430">
        <v>292269</v>
      </c>
      <c r="M64" s="430">
        <f>SPED!C103</f>
        <v>123906.315</v>
      </c>
      <c r="N64" s="20">
        <f t="shared" si="2"/>
        <v>168362.685</v>
      </c>
      <c r="O64" s="24"/>
      <c r="P64" s="134"/>
      <c r="Q64" s="37">
        <v>269688</v>
      </c>
      <c r="R64" s="36"/>
      <c r="S64" s="35">
        <v>269688</v>
      </c>
    </row>
    <row r="65" spans="1:19" s="28" customFormat="1" ht="13.5">
      <c r="A65" s="33" t="s">
        <v>236</v>
      </c>
      <c r="B65" s="103" t="s">
        <v>235</v>
      </c>
      <c r="C65" s="23"/>
      <c r="D65" s="22" t="s">
        <v>34</v>
      </c>
      <c r="E65" s="20">
        <v>90827</v>
      </c>
      <c r="F65" s="400">
        <v>90851</v>
      </c>
      <c r="G65" s="420">
        <v>88109</v>
      </c>
      <c r="H65" s="403"/>
      <c r="I65" s="406">
        <v>92514.45</v>
      </c>
      <c r="J65" s="520"/>
      <c r="K65" s="482"/>
      <c r="L65" s="430">
        <v>95753</v>
      </c>
      <c r="M65" s="430">
        <v>97547</v>
      </c>
      <c r="N65" s="20">
        <f t="shared" si="2"/>
        <v>-1794</v>
      </c>
      <c r="O65" s="24"/>
      <c r="P65" s="135"/>
      <c r="Q65" s="37">
        <v>92514.45</v>
      </c>
      <c r="R65" s="36"/>
      <c r="S65" s="35">
        <v>92514.45</v>
      </c>
    </row>
    <row r="66" spans="1:19" s="28" customFormat="1" ht="13.5">
      <c r="A66" s="33" t="s">
        <v>234</v>
      </c>
      <c r="B66" s="103" t="s">
        <v>233</v>
      </c>
      <c r="C66" s="23"/>
      <c r="D66" s="22" t="s">
        <v>34</v>
      </c>
      <c r="E66" s="20">
        <v>120000</v>
      </c>
      <c r="F66" s="400">
        <v>100000</v>
      </c>
      <c r="G66" s="420">
        <v>50000</v>
      </c>
      <c r="H66" s="403"/>
      <c r="I66" s="406"/>
      <c r="J66" s="520"/>
      <c r="K66" s="482"/>
      <c r="L66" s="430">
        <v>46350</v>
      </c>
      <c r="M66" s="430">
        <f>SPED!C113</f>
        <v>45900</v>
      </c>
      <c r="N66" s="20">
        <f t="shared" si="2"/>
        <v>450</v>
      </c>
      <c r="O66" s="24"/>
      <c r="P66" s="135"/>
      <c r="Q66" s="37">
        <v>0</v>
      </c>
      <c r="R66" s="36"/>
      <c r="S66" s="35">
        <v>0</v>
      </c>
    </row>
    <row r="67" spans="1:19" s="80" customFormat="1" ht="13.5" hidden="1">
      <c r="A67" s="139">
        <v>48</v>
      </c>
      <c r="B67" s="143" t="s">
        <v>232</v>
      </c>
      <c r="C67" s="142"/>
      <c r="D67" s="141"/>
      <c r="E67" s="95">
        <v>0</v>
      </c>
      <c r="F67" s="401">
        <v>0</v>
      </c>
      <c r="G67" s="421">
        <v>0</v>
      </c>
      <c r="H67" s="404"/>
      <c r="I67" s="522">
        <v>0</v>
      </c>
      <c r="J67" s="523"/>
      <c r="K67" s="482"/>
      <c r="L67" s="430">
        <v>0</v>
      </c>
      <c r="M67" s="430"/>
      <c r="N67" s="20">
        <f t="shared" si="2"/>
        <v>0</v>
      </c>
      <c r="O67" s="140"/>
      <c r="P67" s="129"/>
      <c r="Q67" s="82">
        <v>0</v>
      </c>
      <c r="R67" s="82"/>
      <c r="S67" s="81">
        <v>0</v>
      </c>
    </row>
    <row r="68" spans="1:19" s="28" customFormat="1" ht="13.5">
      <c r="A68" s="33" t="s">
        <v>231</v>
      </c>
      <c r="B68" s="103" t="s">
        <v>230</v>
      </c>
      <c r="C68" s="23"/>
      <c r="D68" s="22" t="s">
        <v>34</v>
      </c>
      <c r="E68" s="20">
        <v>149300</v>
      </c>
      <c r="F68" s="400">
        <v>149300</v>
      </c>
      <c r="G68" s="425">
        <v>151914</v>
      </c>
      <c r="H68" s="403"/>
      <c r="I68" s="406">
        <v>176000</v>
      </c>
      <c r="J68" s="520"/>
      <c r="K68" s="482"/>
      <c r="L68" s="430">
        <v>170000</v>
      </c>
      <c r="M68" s="430">
        <v>110000</v>
      </c>
      <c r="N68" s="20">
        <f t="shared" si="2"/>
        <v>60000</v>
      </c>
      <c r="O68" s="24"/>
      <c r="P68" s="135"/>
      <c r="Q68" s="37">
        <v>176000</v>
      </c>
      <c r="R68" s="36"/>
      <c r="S68" s="35">
        <v>176000</v>
      </c>
    </row>
    <row r="69" spans="1:19" s="28" customFormat="1" ht="13.5">
      <c r="A69" s="33" t="s">
        <v>229</v>
      </c>
      <c r="B69" s="103" t="s">
        <v>826</v>
      </c>
      <c r="C69" s="23"/>
      <c r="D69" s="22"/>
      <c r="E69" s="20">
        <v>0</v>
      </c>
      <c r="F69" s="400">
        <v>0</v>
      </c>
      <c r="G69" s="426">
        <v>0</v>
      </c>
      <c r="H69" s="403"/>
      <c r="I69" s="406">
        <v>0</v>
      </c>
      <c r="J69" s="520"/>
      <c r="K69" s="482"/>
      <c r="L69" s="430">
        <v>0</v>
      </c>
      <c r="M69" s="430">
        <f>SPED!C55</f>
        <v>57222</v>
      </c>
      <c r="N69" s="20">
        <f t="shared" si="2"/>
        <v>-57222</v>
      </c>
      <c r="O69" s="24"/>
      <c r="P69" s="135"/>
      <c r="Q69" s="37">
        <v>0</v>
      </c>
      <c r="R69" s="36"/>
      <c r="S69" s="35">
        <v>0</v>
      </c>
    </row>
    <row r="70" spans="1:19" s="28" customFormat="1" ht="13.5">
      <c r="A70" s="33" t="s">
        <v>228</v>
      </c>
      <c r="B70" s="103" t="s">
        <v>227</v>
      </c>
      <c r="C70" s="23"/>
      <c r="D70" s="22" t="s">
        <v>34</v>
      </c>
      <c r="E70" s="20">
        <v>210257</v>
      </c>
      <c r="F70" s="400">
        <v>196875</v>
      </c>
      <c r="G70" s="426">
        <v>192937</v>
      </c>
      <c r="H70" s="403"/>
      <c r="I70" s="406">
        <v>238206</v>
      </c>
      <c r="J70" s="520"/>
      <c r="K70" s="482"/>
      <c r="L70" s="430">
        <v>179214</v>
      </c>
      <c r="M70" s="430">
        <f>SPED!C52</f>
        <v>183332</v>
      </c>
      <c r="N70" s="20">
        <f t="shared" si="2"/>
        <v>-4118</v>
      </c>
      <c r="O70" s="835"/>
      <c r="P70" s="135"/>
      <c r="Q70" s="37">
        <v>238206</v>
      </c>
      <c r="R70" s="36"/>
      <c r="S70" s="35">
        <v>238206</v>
      </c>
    </row>
    <row r="71" spans="1:19" s="80" customFormat="1" ht="13.5">
      <c r="A71" s="139"/>
      <c r="B71" s="103" t="s">
        <v>779</v>
      </c>
      <c r="C71" s="142"/>
      <c r="D71" s="141"/>
      <c r="E71" s="20">
        <v>0</v>
      </c>
      <c r="F71" s="400">
        <v>0</v>
      </c>
      <c r="G71" s="422">
        <v>0</v>
      </c>
      <c r="H71" s="403"/>
      <c r="I71" s="522">
        <v>0</v>
      </c>
      <c r="J71" s="523"/>
      <c r="K71" s="482"/>
      <c r="L71" s="430">
        <v>0</v>
      </c>
      <c r="M71" s="430">
        <v>10000</v>
      </c>
      <c r="N71" s="20">
        <f t="shared" si="2"/>
        <v>-10000</v>
      </c>
      <c r="O71" s="140"/>
      <c r="P71" s="137"/>
      <c r="Q71" s="82">
        <v>0</v>
      </c>
      <c r="R71" s="82"/>
      <c r="S71" s="81">
        <v>0</v>
      </c>
    </row>
    <row r="72" spans="1:19" s="28" customFormat="1" ht="13.5">
      <c r="A72" s="33" t="s">
        <v>226</v>
      </c>
      <c r="B72" s="103" t="s">
        <v>225</v>
      </c>
      <c r="C72" s="23"/>
      <c r="D72" s="22"/>
      <c r="E72" s="20">
        <v>59000</v>
      </c>
      <c r="F72" s="400">
        <v>55000</v>
      </c>
      <c r="G72" s="427">
        <v>55000</v>
      </c>
      <c r="H72" s="403"/>
      <c r="I72" s="406">
        <v>55000</v>
      </c>
      <c r="J72" s="520"/>
      <c r="K72" s="482"/>
      <c r="L72" s="430">
        <v>50000</v>
      </c>
      <c r="M72" s="430">
        <v>30000</v>
      </c>
      <c r="N72" s="20">
        <f t="shared" si="2"/>
        <v>20000</v>
      </c>
      <c r="O72" s="24"/>
      <c r="P72" s="135"/>
      <c r="Q72" s="37">
        <v>55000</v>
      </c>
      <c r="R72" s="36"/>
      <c r="S72" s="35">
        <v>55000</v>
      </c>
    </row>
    <row r="73" spans="1:19" s="28" customFormat="1" ht="13.5">
      <c r="A73" s="33">
        <v>50</v>
      </c>
      <c r="B73" s="103" t="s">
        <v>224</v>
      </c>
      <c r="C73" s="60"/>
      <c r="D73" s="59"/>
      <c r="E73" s="20">
        <v>5000</v>
      </c>
      <c r="F73" s="400">
        <v>3500</v>
      </c>
      <c r="G73" s="426">
        <v>6000</v>
      </c>
      <c r="H73" s="403"/>
      <c r="I73" s="406">
        <v>5000</v>
      </c>
      <c r="J73" s="520"/>
      <c r="K73" s="482"/>
      <c r="L73" s="430">
        <v>6000</v>
      </c>
      <c r="M73" s="430">
        <v>6000</v>
      </c>
      <c r="N73" s="20">
        <f t="shared" si="2"/>
        <v>0</v>
      </c>
      <c r="O73" s="24"/>
      <c r="P73" s="135"/>
      <c r="Q73" s="37">
        <v>5000</v>
      </c>
      <c r="R73" s="36"/>
      <c r="S73" s="35">
        <v>5000</v>
      </c>
    </row>
    <row r="74" spans="1:19" s="28" customFormat="1" ht="13.5">
      <c r="A74" s="33">
        <v>51</v>
      </c>
      <c r="B74" s="103" t="s">
        <v>223</v>
      </c>
      <c r="C74" s="60"/>
      <c r="D74" s="59"/>
      <c r="E74" s="20">
        <v>3000</v>
      </c>
      <c r="F74" s="400">
        <v>3000</v>
      </c>
      <c r="G74" s="426">
        <v>3000</v>
      </c>
      <c r="H74" s="403"/>
      <c r="I74" s="406">
        <v>3000</v>
      </c>
      <c r="J74" s="520"/>
      <c r="K74" s="482"/>
      <c r="L74" s="430">
        <v>3200</v>
      </c>
      <c r="M74" s="430">
        <v>3200</v>
      </c>
      <c r="N74" s="20">
        <f t="shared" si="2"/>
        <v>0</v>
      </c>
      <c r="O74" s="24"/>
      <c r="P74" s="135"/>
      <c r="Q74" s="37">
        <v>3000</v>
      </c>
      <c r="R74" s="36"/>
      <c r="S74" s="35">
        <v>3000</v>
      </c>
    </row>
    <row r="75" spans="1:19" s="28" customFormat="1" ht="13.5">
      <c r="A75" s="33">
        <v>52</v>
      </c>
      <c r="B75" s="525" t="s">
        <v>222</v>
      </c>
      <c r="C75" s="60"/>
      <c r="D75" s="59"/>
      <c r="E75" s="20">
        <v>11000</v>
      </c>
      <c r="F75" s="400">
        <v>12500</v>
      </c>
      <c r="G75" s="426">
        <v>11000</v>
      </c>
      <c r="H75" s="403"/>
      <c r="I75" s="406">
        <v>11000</v>
      </c>
      <c r="J75" s="520"/>
      <c r="K75" s="482"/>
      <c r="L75" s="430">
        <v>11000</v>
      </c>
      <c r="M75" s="430">
        <v>9000</v>
      </c>
      <c r="N75" s="20">
        <f t="shared" si="2"/>
        <v>2000</v>
      </c>
      <c r="O75" s="24"/>
      <c r="P75" s="135"/>
      <c r="Q75" s="37">
        <v>11000</v>
      </c>
      <c r="R75" s="36"/>
      <c r="S75" s="35">
        <v>11000</v>
      </c>
    </row>
    <row r="76" spans="1:19" s="28" customFormat="1" ht="13.5">
      <c r="A76" s="33">
        <v>53</v>
      </c>
      <c r="B76" s="103" t="s">
        <v>221</v>
      </c>
      <c r="C76" s="60"/>
      <c r="D76" s="59"/>
      <c r="E76" s="20">
        <v>1500</v>
      </c>
      <c r="F76" s="400">
        <v>2000</v>
      </c>
      <c r="G76" s="427">
        <v>1500</v>
      </c>
      <c r="H76" s="403"/>
      <c r="I76" s="406">
        <v>1500</v>
      </c>
      <c r="J76" s="520"/>
      <c r="K76" s="482"/>
      <c r="L76" s="430">
        <v>1500</v>
      </c>
      <c r="M76" s="430">
        <v>1500</v>
      </c>
      <c r="N76" s="20">
        <f t="shared" si="2"/>
        <v>0</v>
      </c>
      <c r="O76" s="24"/>
      <c r="P76" s="134"/>
      <c r="Q76" s="37">
        <v>1500</v>
      </c>
      <c r="R76" s="36"/>
      <c r="S76" s="35">
        <v>1500</v>
      </c>
    </row>
    <row r="77" spans="1:19" s="28" customFormat="1" ht="13.5">
      <c r="A77" s="33">
        <v>54</v>
      </c>
      <c r="B77" s="103" t="s">
        <v>220</v>
      </c>
      <c r="C77" s="60"/>
      <c r="D77" s="59"/>
      <c r="E77" s="20">
        <v>2000</v>
      </c>
      <c r="F77" s="400">
        <v>1500</v>
      </c>
      <c r="G77" s="427">
        <v>2000</v>
      </c>
      <c r="H77" s="403"/>
      <c r="I77" s="406">
        <v>2000</v>
      </c>
      <c r="J77" s="520"/>
      <c r="K77" s="482"/>
      <c r="L77" s="430">
        <v>1800</v>
      </c>
      <c r="M77" s="430">
        <v>1800</v>
      </c>
      <c r="N77" s="20">
        <f t="shared" si="2"/>
        <v>0</v>
      </c>
      <c r="O77" s="19"/>
      <c r="P77" s="134"/>
      <c r="Q77" s="37">
        <v>2000</v>
      </c>
      <c r="R77" s="36"/>
      <c r="S77" s="35">
        <v>2000</v>
      </c>
    </row>
    <row r="78" spans="1:19" s="77" customFormat="1" ht="13.5">
      <c r="A78" s="33">
        <v>55</v>
      </c>
      <c r="B78" s="103" t="s">
        <v>219</v>
      </c>
      <c r="C78" s="60"/>
      <c r="D78" s="59"/>
      <c r="E78" s="20">
        <v>0</v>
      </c>
      <c r="F78" s="400">
        <v>0</v>
      </c>
      <c r="G78" s="427">
        <v>0</v>
      </c>
      <c r="H78" s="403"/>
      <c r="I78" s="406">
        <v>0</v>
      </c>
      <c r="J78" s="520"/>
      <c r="K78" s="482"/>
      <c r="L78" s="430">
        <v>0</v>
      </c>
      <c r="M78" s="430"/>
      <c r="N78" s="20">
        <f t="shared" si="2"/>
        <v>0</v>
      </c>
      <c r="O78" s="121"/>
      <c r="P78" s="134"/>
      <c r="Q78" s="37">
        <v>0</v>
      </c>
      <c r="R78" s="36"/>
      <c r="S78" s="35">
        <v>0</v>
      </c>
    </row>
    <row r="79" spans="1:19" s="28" customFormat="1" ht="13.5">
      <c r="A79" s="33">
        <v>56</v>
      </c>
      <c r="B79" s="103" t="s">
        <v>218</v>
      </c>
      <c r="C79" s="23"/>
      <c r="D79" s="22"/>
      <c r="E79" s="20">
        <v>65000</v>
      </c>
      <c r="F79" s="400">
        <v>43670</v>
      </c>
      <c r="G79" s="427">
        <v>55373</v>
      </c>
      <c r="H79" s="403"/>
      <c r="I79" s="406">
        <v>218495</v>
      </c>
      <c r="J79" s="520"/>
      <c r="K79" s="482"/>
      <c r="L79" s="430">
        <v>252128</v>
      </c>
      <c r="M79" s="430">
        <f>SPED!C41</f>
        <v>175085</v>
      </c>
      <c r="N79" s="20">
        <f t="shared" si="2"/>
        <v>77043</v>
      </c>
      <c r="O79" s="24"/>
      <c r="P79" s="135"/>
      <c r="Q79" s="37">
        <v>218495</v>
      </c>
      <c r="R79" s="36"/>
      <c r="S79" s="35">
        <v>218495</v>
      </c>
    </row>
    <row r="80" spans="1:19" s="28" customFormat="1" ht="13.5">
      <c r="A80" s="33"/>
      <c r="B80" s="103" t="s">
        <v>827</v>
      </c>
      <c r="C80" s="23"/>
      <c r="D80" s="22"/>
      <c r="E80" s="20"/>
      <c r="F80" s="400"/>
      <c r="G80" s="427"/>
      <c r="H80" s="403"/>
      <c r="I80" s="406"/>
      <c r="J80" s="520"/>
      <c r="K80" s="482"/>
      <c r="L80" s="430"/>
      <c r="M80" s="430">
        <f>SPED!C46</f>
        <v>111412</v>
      </c>
      <c r="N80" s="20">
        <f t="shared" si="2"/>
        <v>-111412</v>
      </c>
      <c r="O80" s="24"/>
      <c r="P80" s="135"/>
      <c r="Q80" s="37"/>
      <c r="R80" s="36"/>
      <c r="S80" s="35"/>
    </row>
    <row r="81" spans="1:19" s="28" customFormat="1" ht="13.5">
      <c r="A81" s="33">
        <v>57</v>
      </c>
      <c r="B81" s="526" t="s">
        <v>544</v>
      </c>
      <c r="C81" s="23"/>
      <c r="D81" s="22"/>
      <c r="E81" s="20">
        <v>77000</v>
      </c>
      <c r="F81" s="400">
        <v>74500</v>
      </c>
      <c r="G81" s="427">
        <v>145876</v>
      </c>
      <c r="H81" s="403"/>
      <c r="I81" s="406">
        <v>217036</v>
      </c>
      <c r="J81" s="520">
        <v>-58000</v>
      </c>
      <c r="K81" s="482"/>
      <c r="L81" s="430">
        <v>197662</v>
      </c>
      <c r="M81" s="430">
        <v>275007</v>
      </c>
      <c r="N81" s="20">
        <f t="shared" si="2"/>
        <v>-77345</v>
      </c>
      <c r="O81" s="19"/>
      <c r="P81" s="135"/>
      <c r="Q81" s="37">
        <v>159036</v>
      </c>
      <c r="R81" s="36"/>
      <c r="S81" s="35">
        <v>159036</v>
      </c>
    </row>
    <row r="82" spans="1:19" s="28" customFormat="1" ht="13.5">
      <c r="A82" s="33">
        <v>58</v>
      </c>
      <c r="B82" s="526" t="s">
        <v>217</v>
      </c>
      <c r="C82" s="23"/>
      <c r="D82" s="22"/>
      <c r="E82" s="20">
        <v>16500</v>
      </c>
      <c r="F82" s="400">
        <v>16500</v>
      </c>
      <c r="G82" s="427"/>
      <c r="H82" s="403"/>
      <c r="I82" s="406"/>
      <c r="J82" s="520"/>
      <c r="K82" s="482"/>
      <c r="L82" s="430">
        <v>0</v>
      </c>
      <c r="M82" s="430">
        <v>20000</v>
      </c>
      <c r="N82" s="20">
        <f t="shared" si="2"/>
        <v>-20000</v>
      </c>
      <c r="O82" s="19"/>
      <c r="P82" s="135"/>
      <c r="Q82" s="37">
        <v>0</v>
      </c>
      <c r="R82" s="36"/>
      <c r="S82" s="35">
        <v>0</v>
      </c>
    </row>
    <row r="83" spans="1:19" s="45" customFormat="1" ht="13.5">
      <c r="A83" s="33">
        <v>59</v>
      </c>
      <c r="B83" s="103" t="s">
        <v>216</v>
      </c>
      <c r="C83" s="23"/>
      <c r="D83" s="22"/>
      <c r="E83" s="20">
        <v>948512</v>
      </c>
      <c r="F83" s="400">
        <v>843516</v>
      </c>
      <c r="G83" s="427">
        <v>804241</v>
      </c>
      <c r="H83" s="403"/>
      <c r="I83" s="406">
        <v>1016321</v>
      </c>
      <c r="J83" s="520">
        <v>-45000</v>
      </c>
      <c r="K83" s="482">
        <v>-100000</v>
      </c>
      <c r="L83" s="430">
        <v>874097</v>
      </c>
      <c r="M83" s="430">
        <v>646385</v>
      </c>
      <c r="N83" s="20">
        <f t="shared" si="2"/>
        <v>227712</v>
      </c>
      <c r="O83" s="19"/>
      <c r="P83" s="138"/>
      <c r="Q83" s="93">
        <v>871321</v>
      </c>
      <c r="R83" s="93"/>
      <c r="S83" s="92">
        <v>871321</v>
      </c>
    </row>
    <row r="84" spans="1:19" s="80" customFormat="1" ht="13.5" hidden="1">
      <c r="A84" s="527">
        <v>60</v>
      </c>
      <c r="B84" s="528" t="s">
        <v>215</v>
      </c>
      <c r="C84" s="529"/>
      <c r="D84" s="141"/>
      <c r="E84" s="530">
        <v>0</v>
      </c>
      <c r="F84" s="531">
        <v>0</v>
      </c>
      <c r="G84" s="532">
        <v>0</v>
      </c>
      <c r="H84" s="533"/>
      <c r="I84" s="534">
        <v>0</v>
      </c>
      <c r="J84" s="535"/>
      <c r="K84" s="521"/>
      <c r="L84" s="430">
        <v>0</v>
      </c>
      <c r="M84" s="430"/>
      <c r="N84" s="20">
        <f t="shared" si="2"/>
        <v>0</v>
      </c>
      <c r="O84" s="536"/>
      <c r="P84" s="137"/>
      <c r="Q84" s="82">
        <v>0</v>
      </c>
      <c r="R84" s="82"/>
      <c r="S84" s="81">
        <v>0</v>
      </c>
    </row>
    <row r="85" spans="1:19" s="28" customFormat="1" ht="13.5">
      <c r="A85" s="33">
        <v>61</v>
      </c>
      <c r="B85" s="526" t="s">
        <v>214</v>
      </c>
      <c r="C85" s="23"/>
      <c r="D85" s="22"/>
      <c r="E85" s="20">
        <v>0</v>
      </c>
      <c r="F85" s="400">
        <v>0</v>
      </c>
      <c r="G85" s="427">
        <v>0</v>
      </c>
      <c r="H85" s="403"/>
      <c r="I85" s="406">
        <v>0</v>
      </c>
      <c r="J85" s="520"/>
      <c r="K85" s="482"/>
      <c r="L85" s="430">
        <v>0</v>
      </c>
      <c r="M85" s="430"/>
      <c r="N85" s="20">
        <f t="shared" si="2"/>
        <v>0</v>
      </c>
      <c r="O85" s="19"/>
      <c r="P85" s="135"/>
      <c r="Q85" s="37">
        <v>0</v>
      </c>
      <c r="R85" s="36"/>
      <c r="S85" s="35">
        <v>0</v>
      </c>
    </row>
    <row r="86" spans="1:19" s="28" customFormat="1" ht="13.5">
      <c r="A86" s="524" t="s">
        <v>213</v>
      </c>
      <c r="B86" s="525" t="s">
        <v>380</v>
      </c>
      <c r="C86" s="44"/>
      <c r="D86" s="22" t="s">
        <v>34</v>
      </c>
      <c r="E86" s="136">
        <v>66283</v>
      </c>
      <c r="F86" s="402">
        <v>44327</v>
      </c>
      <c r="G86" s="427">
        <v>0</v>
      </c>
      <c r="H86" s="403"/>
      <c r="I86" s="537">
        <v>127927</v>
      </c>
      <c r="J86" s="520"/>
      <c r="K86" s="482"/>
      <c r="L86" s="430">
        <v>141254</v>
      </c>
      <c r="M86" s="430">
        <f>SPED!C15</f>
        <v>146195</v>
      </c>
      <c r="N86" s="20">
        <f t="shared" si="2"/>
        <v>-4941</v>
      </c>
      <c r="O86" s="391"/>
      <c r="P86" s="77"/>
      <c r="Q86" s="77">
        <v>127927</v>
      </c>
      <c r="R86" s="77"/>
      <c r="S86" s="77">
        <v>127927</v>
      </c>
    </row>
    <row r="87" spans="1:19" s="28" customFormat="1" ht="13.5">
      <c r="A87" s="33" t="s">
        <v>212</v>
      </c>
      <c r="B87" s="103" t="s">
        <v>211</v>
      </c>
      <c r="C87" s="23"/>
      <c r="D87" s="22" t="s">
        <v>34</v>
      </c>
      <c r="E87" s="20"/>
      <c r="F87" s="400">
        <v>10000</v>
      </c>
      <c r="G87" s="427">
        <v>0</v>
      </c>
      <c r="H87" s="403"/>
      <c r="I87" s="406">
        <v>0</v>
      </c>
      <c r="J87" s="520"/>
      <c r="K87" s="482"/>
      <c r="L87" s="430">
        <v>0</v>
      </c>
      <c r="M87" s="430"/>
      <c r="N87" s="20">
        <f t="shared" si="2"/>
        <v>0</v>
      </c>
      <c r="O87" s="121"/>
      <c r="P87" s="134"/>
      <c r="Q87" s="37">
        <v>0</v>
      </c>
      <c r="R87" s="36"/>
      <c r="S87" s="35">
        <v>0</v>
      </c>
    </row>
    <row r="88" spans="1:19" s="28" customFormat="1" ht="13.5">
      <c r="A88" s="33" t="s">
        <v>210</v>
      </c>
      <c r="B88" s="103" t="s">
        <v>209</v>
      </c>
      <c r="C88" s="23"/>
      <c r="D88" s="22"/>
      <c r="E88" s="20">
        <v>228857</v>
      </c>
      <c r="F88" s="400">
        <v>197272</v>
      </c>
      <c r="G88" s="427">
        <v>120422</v>
      </c>
      <c r="H88" s="403"/>
      <c r="I88" s="406"/>
      <c r="J88" s="520"/>
      <c r="K88" s="482"/>
      <c r="L88" s="430">
        <v>0</v>
      </c>
      <c r="M88" s="430"/>
      <c r="N88" s="20">
        <f t="shared" si="2"/>
        <v>0</v>
      </c>
      <c r="O88" s="24"/>
      <c r="P88" s="135"/>
      <c r="Q88" s="37">
        <v>0</v>
      </c>
      <c r="R88" s="36"/>
      <c r="S88" s="35">
        <v>0</v>
      </c>
    </row>
    <row r="89" spans="1:19" ht="13.5">
      <c r="A89" s="33" t="s">
        <v>208</v>
      </c>
      <c r="B89" s="525" t="s">
        <v>207</v>
      </c>
      <c r="C89" s="23"/>
      <c r="D89" s="22"/>
      <c r="E89" s="20">
        <v>10000</v>
      </c>
      <c r="F89" s="400">
        <v>10000</v>
      </c>
      <c r="G89" s="427">
        <v>0</v>
      </c>
      <c r="H89" s="403"/>
      <c r="I89" s="406">
        <v>0</v>
      </c>
      <c r="J89" s="520"/>
      <c r="K89" s="482"/>
      <c r="L89" s="430">
        <v>0</v>
      </c>
      <c r="M89" s="430"/>
      <c r="N89" s="20">
        <f t="shared" si="2"/>
        <v>0</v>
      </c>
      <c r="O89" s="121"/>
      <c r="P89" s="134"/>
      <c r="Q89" s="37">
        <v>0</v>
      </c>
      <c r="R89" s="36"/>
      <c r="S89" s="35">
        <v>0</v>
      </c>
    </row>
    <row r="90" spans="1:19" s="28" customFormat="1" ht="13.5">
      <c r="A90" s="33" t="s">
        <v>206</v>
      </c>
      <c r="B90" s="103" t="s">
        <v>205</v>
      </c>
      <c r="C90" s="23"/>
      <c r="D90" s="22" t="s">
        <v>34</v>
      </c>
      <c r="E90" s="20">
        <v>120000</v>
      </c>
      <c r="F90" s="400">
        <v>120000</v>
      </c>
      <c r="G90" s="427">
        <v>110000</v>
      </c>
      <c r="H90" s="403"/>
      <c r="I90" s="406">
        <v>30000</v>
      </c>
      <c r="J90" s="520"/>
      <c r="K90" s="482"/>
      <c r="L90" s="430">
        <v>30000</v>
      </c>
      <c r="M90" s="430">
        <v>30000</v>
      </c>
      <c r="N90" s="20">
        <f t="shared" si="2"/>
        <v>0</v>
      </c>
      <c r="O90" s="121"/>
      <c r="P90" s="134"/>
      <c r="Q90" s="37">
        <v>30000</v>
      </c>
      <c r="R90" s="36"/>
      <c r="S90" s="35">
        <v>30000</v>
      </c>
    </row>
    <row r="91" spans="1:19" s="130" customFormat="1" ht="13.5" hidden="1">
      <c r="A91" s="538">
        <v>63</v>
      </c>
      <c r="B91" s="539" t="s">
        <v>204</v>
      </c>
      <c r="C91" s="540"/>
      <c r="D91" s="141"/>
      <c r="E91" s="434">
        <v>0</v>
      </c>
      <c r="F91" s="541">
        <v>0</v>
      </c>
      <c r="G91" s="542">
        <v>0</v>
      </c>
      <c r="H91" s="540"/>
      <c r="I91" s="543">
        <v>0</v>
      </c>
      <c r="J91" s="535"/>
      <c r="K91" s="482"/>
      <c r="L91" s="434">
        <v>0</v>
      </c>
      <c r="M91" s="434"/>
      <c r="N91" s="20">
        <f t="shared" si="2"/>
        <v>0</v>
      </c>
      <c r="O91" s="544"/>
      <c r="P91" s="133"/>
      <c r="Q91" s="132">
        <v>0</v>
      </c>
      <c r="R91" s="132"/>
      <c r="S91" s="131">
        <v>0</v>
      </c>
    </row>
    <row r="92" spans="1:19" s="28" customFormat="1" ht="13.5" hidden="1">
      <c r="A92" s="139">
        <v>64</v>
      </c>
      <c r="B92" s="545" t="s">
        <v>203</v>
      </c>
      <c r="C92" s="142"/>
      <c r="D92" s="141"/>
      <c r="E92" s="435">
        <v>0</v>
      </c>
      <c r="F92" s="546">
        <v>0</v>
      </c>
      <c r="G92" s="542">
        <v>0</v>
      </c>
      <c r="H92" s="540"/>
      <c r="I92" s="522">
        <v>0</v>
      </c>
      <c r="J92" s="523"/>
      <c r="K92" s="547"/>
      <c r="L92" s="435">
        <v>0</v>
      </c>
      <c r="M92" s="435"/>
      <c r="N92" s="20">
        <f t="shared" si="2"/>
        <v>0</v>
      </c>
      <c r="O92" s="19"/>
      <c r="P92" s="129"/>
      <c r="Q92" s="82">
        <v>0</v>
      </c>
      <c r="R92" s="82"/>
      <c r="S92" s="81">
        <v>0</v>
      </c>
    </row>
    <row r="93" spans="1:19" s="80" customFormat="1" ht="13.5" hidden="1">
      <c r="A93" s="139">
        <v>65</v>
      </c>
      <c r="B93" s="143" t="s">
        <v>202</v>
      </c>
      <c r="C93" s="142"/>
      <c r="D93" s="141"/>
      <c r="E93" s="435">
        <v>0</v>
      </c>
      <c r="F93" s="546">
        <v>0</v>
      </c>
      <c r="G93" s="542">
        <v>0</v>
      </c>
      <c r="H93" s="540"/>
      <c r="I93" s="522">
        <v>0</v>
      </c>
      <c r="J93" s="523"/>
      <c r="K93" s="482"/>
      <c r="L93" s="435">
        <v>0</v>
      </c>
      <c r="M93" s="435"/>
      <c r="N93" s="20">
        <f t="shared" si="2"/>
        <v>0</v>
      </c>
      <c r="O93" s="548"/>
      <c r="P93" s="129"/>
      <c r="Q93" s="82">
        <v>0</v>
      </c>
      <c r="R93" s="82"/>
      <c r="S93" s="81">
        <v>0</v>
      </c>
    </row>
    <row r="94" spans="1:19" s="694" customFormat="1" ht="15.75" customHeight="1" thickBot="1">
      <c r="A94" s="597" t="s">
        <v>201</v>
      </c>
      <c r="B94" s="561" t="s">
        <v>828</v>
      </c>
      <c r="C94" s="128"/>
      <c r="D94" s="127"/>
      <c r="E94" s="126">
        <v>120000</v>
      </c>
      <c r="F94" s="408">
        <v>100000</v>
      </c>
      <c r="G94" s="607">
        <v>60000</v>
      </c>
      <c r="H94" s="409"/>
      <c r="I94" s="483">
        <v>75239</v>
      </c>
      <c r="J94" s="518"/>
      <c r="K94" s="519"/>
      <c r="L94" s="436">
        <v>97938</v>
      </c>
      <c r="M94" s="436">
        <f>SPED!H95</f>
        <v>376867.925</v>
      </c>
      <c r="N94" s="20">
        <f t="shared" si="2"/>
        <v>-278929.925</v>
      </c>
      <c r="O94" s="657"/>
      <c r="P94" s="690"/>
      <c r="Q94" s="691">
        <v>75239</v>
      </c>
      <c r="R94" s="692"/>
      <c r="S94" s="693">
        <v>75239</v>
      </c>
    </row>
    <row r="95" spans="1:19" s="91" customFormat="1" ht="12.75" customHeight="1" hidden="1" thickBot="1">
      <c r="A95" s="517" t="s">
        <v>200</v>
      </c>
      <c r="B95" s="486" t="s">
        <v>199</v>
      </c>
      <c r="C95" s="18"/>
      <c r="D95" s="17"/>
      <c r="E95" s="98">
        <v>0</v>
      </c>
      <c r="F95" s="416">
        <v>0</v>
      </c>
      <c r="G95" s="549">
        <v>0</v>
      </c>
      <c r="H95" s="18"/>
      <c r="I95" s="550">
        <v>0</v>
      </c>
      <c r="J95" s="551"/>
      <c r="K95" s="519"/>
      <c r="L95" s="429">
        <v>0</v>
      </c>
      <c r="M95" s="429">
        <v>0</v>
      </c>
      <c r="N95" s="15">
        <v>0</v>
      </c>
      <c r="O95" s="14"/>
      <c r="P95" s="689"/>
      <c r="Q95" s="152">
        <v>0</v>
      </c>
      <c r="R95" s="152"/>
      <c r="S95" s="151">
        <v>0</v>
      </c>
    </row>
    <row r="96" spans="1:25" ht="15" customHeight="1" thickBot="1">
      <c r="A96" s="695"/>
      <c r="B96" s="696"/>
      <c r="C96" s="697"/>
      <c r="D96" s="698"/>
      <c r="E96" s="697"/>
      <c r="F96" s="697"/>
      <c r="G96" s="699"/>
      <c r="H96" s="697"/>
      <c r="I96" s="700"/>
      <c r="J96" s="700"/>
      <c r="K96" s="700"/>
      <c r="L96" s="701"/>
      <c r="M96" s="701"/>
      <c r="N96" s="702"/>
      <c r="O96" s="703"/>
      <c r="P96" s="704"/>
      <c r="Q96" s="704"/>
      <c r="R96" s="704"/>
      <c r="S96" s="704"/>
      <c r="T96" s="91"/>
      <c r="U96" s="91"/>
      <c r="V96" s="91"/>
      <c r="W96" s="91"/>
      <c r="X96" s="91"/>
      <c r="Y96" s="91"/>
    </row>
    <row r="97" spans="1:19" s="688" customFormat="1" ht="14.25" thickBot="1">
      <c r="A97" s="554"/>
      <c r="B97" s="555" t="s">
        <v>592</v>
      </c>
      <c r="C97" s="684"/>
      <c r="D97" s="707"/>
      <c r="E97" s="708">
        <v>1917234.29</v>
      </c>
      <c r="F97" s="709">
        <v>1705973.7299999997</v>
      </c>
      <c r="G97" s="556">
        <f>SUM(G98:G148)</f>
        <v>2052039</v>
      </c>
      <c r="H97" s="710"/>
      <c r="I97" s="710">
        <v>1830052.94</v>
      </c>
      <c r="J97" s="711">
        <v>-2500</v>
      </c>
      <c r="K97" s="712">
        <v>0</v>
      </c>
      <c r="L97" s="556">
        <f>SUM(L98:L148)</f>
        <v>544218</v>
      </c>
      <c r="M97" s="556">
        <f>SUM(M98:M148)</f>
        <v>619373.78</v>
      </c>
      <c r="N97" s="646">
        <f aca="true" t="shared" si="3" ref="N97:N160">SUM(L97-M97)</f>
        <v>-75155.78000000003</v>
      </c>
      <c r="O97" s="654"/>
      <c r="P97" s="713"/>
      <c r="Q97" s="714"/>
      <c r="R97" s="714"/>
      <c r="S97" s="715"/>
    </row>
    <row r="98" spans="1:22" ht="13.5">
      <c r="A98" s="558">
        <v>73</v>
      </c>
      <c r="B98" s="559" t="s">
        <v>646</v>
      </c>
      <c r="C98" s="44"/>
      <c r="D98" s="22" t="s">
        <v>34</v>
      </c>
      <c r="E98" s="705">
        <v>92746</v>
      </c>
      <c r="F98" s="706">
        <v>87000</v>
      </c>
      <c r="G98" s="453">
        <v>96456</v>
      </c>
      <c r="H98" s="405"/>
      <c r="I98" s="537"/>
      <c r="J98" s="520"/>
      <c r="K98" s="482"/>
      <c r="L98" s="437">
        <v>10925</v>
      </c>
      <c r="M98" s="437">
        <f>OTHER!C35</f>
        <v>11644</v>
      </c>
      <c r="N98" s="136">
        <f t="shared" si="3"/>
        <v>-719</v>
      </c>
      <c r="O98" s="43"/>
      <c r="P98" s="125"/>
      <c r="Q98" s="86"/>
      <c r="R98" s="85"/>
      <c r="S98" s="84"/>
      <c r="V98" s="124"/>
    </row>
    <row r="99" spans="1:22" s="28" customFormat="1" ht="13.5">
      <c r="A99" s="558">
        <v>75</v>
      </c>
      <c r="B99" s="103" t="s">
        <v>593</v>
      </c>
      <c r="C99" s="23"/>
      <c r="D99" s="22" t="s">
        <v>34</v>
      </c>
      <c r="E99" s="123">
        <v>65710</v>
      </c>
      <c r="F99" s="411">
        <v>67352.75</v>
      </c>
      <c r="G99" s="451">
        <v>74973</v>
      </c>
      <c r="H99" s="405"/>
      <c r="I99" s="406">
        <v>75000</v>
      </c>
      <c r="J99" s="407"/>
      <c r="K99" s="428"/>
      <c r="L99" s="438">
        <v>38519</v>
      </c>
      <c r="M99" s="438">
        <f>QHCS!C3</f>
        <v>43875</v>
      </c>
      <c r="N99" s="136">
        <f t="shared" si="3"/>
        <v>-5356</v>
      </c>
      <c r="O99" s="24"/>
      <c r="P99" s="117"/>
      <c r="Q99" s="37"/>
      <c r="R99" s="36"/>
      <c r="S99" s="35"/>
      <c r="V99" s="28">
        <v>3125</v>
      </c>
    </row>
    <row r="100" spans="1:22" s="28" customFormat="1" ht="13.5">
      <c r="A100" s="558">
        <v>76</v>
      </c>
      <c r="B100" s="103" t="s">
        <v>594</v>
      </c>
      <c r="C100" s="23"/>
      <c r="D100" s="22"/>
      <c r="E100" s="111">
        <v>400</v>
      </c>
      <c r="F100" s="412">
        <v>1000</v>
      </c>
      <c r="G100" s="451">
        <v>2200</v>
      </c>
      <c r="H100" s="405"/>
      <c r="I100" s="406">
        <v>1000</v>
      </c>
      <c r="J100" s="407"/>
      <c r="K100" s="428"/>
      <c r="L100" s="438">
        <v>2000</v>
      </c>
      <c r="M100" s="438">
        <v>2000</v>
      </c>
      <c r="N100" s="136">
        <f t="shared" si="3"/>
        <v>0</v>
      </c>
      <c r="O100" s="24"/>
      <c r="P100" s="117"/>
      <c r="Q100" s="37"/>
      <c r="R100" s="36"/>
      <c r="S100" s="35"/>
      <c r="V100" s="28">
        <v>70</v>
      </c>
    </row>
    <row r="101" spans="1:22" s="28" customFormat="1" ht="13.5">
      <c r="A101" s="558">
        <v>77</v>
      </c>
      <c r="B101" s="103" t="s">
        <v>595</v>
      </c>
      <c r="C101" s="23"/>
      <c r="D101" s="22"/>
      <c r="E101" s="111">
        <v>735</v>
      </c>
      <c r="F101" s="412">
        <v>700</v>
      </c>
      <c r="G101" s="451">
        <v>735</v>
      </c>
      <c r="H101" s="405"/>
      <c r="I101" s="406">
        <v>400</v>
      </c>
      <c r="J101" s="407"/>
      <c r="K101" s="428"/>
      <c r="L101" s="438">
        <v>400</v>
      </c>
      <c r="M101" s="438">
        <v>400</v>
      </c>
      <c r="N101" s="136">
        <f t="shared" si="3"/>
        <v>0</v>
      </c>
      <c r="O101" s="24"/>
      <c r="P101" s="117"/>
      <c r="Q101" s="37"/>
      <c r="R101" s="36"/>
      <c r="S101" s="35"/>
      <c r="V101" s="28">
        <v>6</v>
      </c>
    </row>
    <row r="102" spans="1:22" s="28" customFormat="1" ht="13.5">
      <c r="A102" s="558">
        <v>78</v>
      </c>
      <c r="B102" s="103" t="s">
        <v>596</v>
      </c>
      <c r="C102" s="23"/>
      <c r="D102" s="22"/>
      <c r="E102" s="111">
        <v>750</v>
      </c>
      <c r="F102" s="412">
        <v>2500</v>
      </c>
      <c r="G102" s="451">
        <v>900</v>
      </c>
      <c r="H102" s="405"/>
      <c r="I102" s="406">
        <v>350</v>
      </c>
      <c r="J102" s="407"/>
      <c r="K102" s="428"/>
      <c r="L102" s="438">
        <v>350</v>
      </c>
      <c r="M102" s="438">
        <v>350</v>
      </c>
      <c r="N102" s="136">
        <f t="shared" si="3"/>
        <v>0</v>
      </c>
      <c r="O102" s="24"/>
      <c r="P102" s="117"/>
      <c r="Q102" s="37"/>
      <c r="R102" s="36"/>
      <c r="S102" s="35"/>
      <c r="V102" s="28">
        <v>420</v>
      </c>
    </row>
    <row r="103" spans="1:19" s="28" customFormat="1" ht="13.5">
      <c r="A103" s="558">
        <v>79</v>
      </c>
      <c r="B103" s="103" t="s">
        <v>597</v>
      </c>
      <c r="C103" s="23"/>
      <c r="D103" s="22"/>
      <c r="E103" s="111">
        <v>1500</v>
      </c>
      <c r="F103" s="412">
        <v>1500</v>
      </c>
      <c r="G103" s="451">
        <v>1000</v>
      </c>
      <c r="H103" s="405"/>
      <c r="I103" s="406">
        <v>1000</v>
      </c>
      <c r="J103" s="407"/>
      <c r="K103" s="428"/>
      <c r="L103" s="438">
        <v>1000</v>
      </c>
      <c r="M103" s="438">
        <v>1000</v>
      </c>
      <c r="N103" s="136">
        <f t="shared" si="3"/>
        <v>0</v>
      </c>
      <c r="O103" s="24"/>
      <c r="P103" s="117"/>
      <c r="Q103" s="37"/>
      <c r="R103" s="36"/>
      <c r="S103" s="35"/>
    </row>
    <row r="104" spans="1:22" s="119" customFormat="1" ht="13.5">
      <c r="A104" s="33" t="s">
        <v>198</v>
      </c>
      <c r="B104" s="122" t="s">
        <v>598</v>
      </c>
      <c r="C104" s="23"/>
      <c r="D104" s="22" t="s">
        <v>34</v>
      </c>
      <c r="E104" s="111">
        <v>227279</v>
      </c>
      <c r="F104" s="412">
        <v>186934</v>
      </c>
      <c r="G104" s="451">
        <v>233307</v>
      </c>
      <c r="H104" s="405"/>
      <c r="I104" s="406">
        <v>240207</v>
      </c>
      <c r="J104" s="407"/>
      <c r="K104" s="428"/>
      <c r="L104" s="438">
        <v>204311</v>
      </c>
      <c r="M104" s="438">
        <f>QHCS!C10</f>
        <v>255566</v>
      </c>
      <c r="N104" s="136">
        <f t="shared" si="3"/>
        <v>-51255</v>
      </c>
      <c r="O104" s="121"/>
      <c r="P104" s="120"/>
      <c r="V104" s="119">
        <v>7.440476190476191</v>
      </c>
    </row>
    <row r="105" spans="1:16" s="77" customFormat="1" ht="13.5" hidden="1">
      <c r="A105" s="33" t="s">
        <v>175</v>
      </c>
      <c r="B105" s="119" t="s">
        <v>599</v>
      </c>
      <c r="C105" s="23"/>
      <c r="D105" s="22" t="s">
        <v>34</v>
      </c>
      <c r="E105" s="111">
        <v>218461</v>
      </c>
      <c r="F105" s="412">
        <v>155421</v>
      </c>
      <c r="G105" s="451">
        <v>254733</v>
      </c>
      <c r="H105" s="405"/>
      <c r="I105" s="406">
        <v>219361.16</v>
      </c>
      <c r="J105" s="560"/>
      <c r="K105" s="428"/>
      <c r="L105" s="438"/>
      <c r="M105" s="438"/>
      <c r="N105" s="136">
        <f t="shared" si="3"/>
        <v>0</v>
      </c>
      <c r="O105" s="24"/>
      <c r="P105" s="117"/>
    </row>
    <row r="106" spans="1:15" s="77" customFormat="1" ht="13.5" hidden="1">
      <c r="A106" s="33" t="s">
        <v>174</v>
      </c>
      <c r="B106" s="119" t="s">
        <v>600</v>
      </c>
      <c r="C106" s="23"/>
      <c r="D106" s="22" t="s">
        <v>34</v>
      </c>
      <c r="E106" s="111">
        <v>179690</v>
      </c>
      <c r="F106" s="412">
        <v>177701</v>
      </c>
      <c r="G106" s="451">
        <v>269435</v>
      </c>
      <c r="H106" s="405"/>
      <c r="I106" s="406">
        <v>285189.49</v>
      </c>
      <c r="J106" s="407"/>
      <c r="K106" s="428"/>
      <c r="L106" s="438"/>
      <c r="M106" s="438"/>
      <c r="N106" s="136">
        <f t="shared" si="3"/>
        <v>0</v>
      </c>
      <c r="O106" s="24"/>
    </row>
    <row r="107" spans="1:19" s="28" customFormat="1" ht="13.5" hidden="1">
      <c r="A107" s="33" t="s">
        <v>173</v>
      </c>
      <c r="B107" s="119" t="s">
        <v>601</v>
      </c>
      <c r="C107" s="23"/>
      <c r="D107" s="22" t="s">
        <v>34</v>
      </c>
      <c r="E107" s="111">
        <v>180507</v>
      </c>
      <c r="F107" s="412">
        <v>174255</v>
      </c>
      <c r="G107" s="451">
        <v>188521</v>
      </c>
      <c r="H107" s="405"/>
      <c r="I107" s="406">
        <v>190649.91</v>
      </c>
      <c r="J107" s="407"/>
      <c r="K107" s="428"/>
      <c r="L107" s="438"/>
      <c r="M107" s="438"/>
      <c r="N107" s="136">
        <f t="shared" si="3"/>
        <v>0</v>
      </c>
      <c r="O107" s="24"/>
      <c r="P107" s="77"/>
      <c r="Q107" s="77"/>
      <c r="R107" s="77"/>
      <c r="S107" s="77"/>
    </row>
    <row r="108" spans="1:16" s="77" customFormat="1" ht="13.5" hidden="1">
      <c r="A108" s="33" t="s">
        <v>172</v>
      </c>
      <c r="B108" s="119" t="s">
        <v>602</v>
      </c>
      <c r="C108" s="23"/>
      <c r="D108" s="22" t="s">
        <v>34</v>
      </c>
      <c r="E108" s="111">
        <v>200908</v>
      </c>
      <c r="F108" s="412">
        <v>195698</v>
      </c>
      <c r="G108" s="451">
        <v>200952</v>
      </c>
      <c r="H108" s="405"/>
      <c r="I108" s="406">
        <v>192068.22</v>
      </c>
      <c r="J108" s="407"/>
      <c r="K108" s="428"/>
      <c r="L108" s="438"/>
      <c r="M108" s="438"/>
      <c r="N108" s="136">
        <f t="shared" si="3"/>
        <v>0</v>
      </c>
      <c r="O108" s="121"/>
      <c r="P108" s="117"/>
    </row>
    <row r="109" spans="1:16" s="77" customFormat="1" ht="13.5">
      <c r="A109" s="33" t="s">
        <v>197</v>
      </c>
      <c r="B109" s="119" t="s">
        <v>620</v>
      </c>
      <c r="C109" s="23"/>
      <c r="D109" s="22" t="s">
        <v>34</v>
      </c>
      <c r="E109" s="111">
        <v>272474</v>
      </c>
      <c r="F109" s="412">
        <v>268168</v>
      </c>
      <c r="G109" s="451">
        <v>274464</v>
      </c>
      <c r="H109" s="405"/>
      <c r="I109" s="406">
        <v>290194.26</v>
      </c>
      <c r="J109" s="407"/>
      <c r="K109" s="428"/>
      <c r="L109" s="438">
        <v>95722</v>
      </c>
      <c r="M109" s="438">
        <f>QHCS!C19</f>
        <v>48753</v>
      </c>
      <c r="N109" s="136">
        <f t="shared" si="3"/>
        <v>46969</v>
      </c>
      <c r="O109" s="24"/>
      <c r="P109" s="117"/>
    </row>
    <row r="110" spans="1:16" s="77" customFormat="1" ht="13.5">
      <c r="A110" s="33" t="s">
        <v>168</v>
      </c>
      <c r="B110" s="119" t="s">
        <v>603</v>
      </c>
      <c r="C110" s="23"/>
      <c r="D110" s="22" t="s">
        <v>34</v>
      </c>
      <c r="E110" s="111">
        <v>73230</v>
      </c>
      <c r="F110" s="412">
        <v>0</v>
      </c>
      <c r="G110" s="451">
        <v>104848</v>
      </c>
      <c r="H110" s="405"/>
      <c r="I110" s="406">
        <v>75426.90000000001</v>
      </c>
      <c r="J110" s="407"/>
      <c r="K110" s="428"/>
      <c r="L110" s="439"/>
      <c r="M110" s="439"/>
      <c r="N110" s="136">
        <f t="shared" si="3"/>
        <v>0</v>
      </c>
      <c r="O110" s="24"/>
      <c r="P110" s="117"/>
    </row>
    <row r="111" spans="1:22" s="28" customFormat="1" ht="13.5">
      <c r="A111" s="33">
        <v>81</v>
      </c>
      <c r="B111" s="103" t="s">
        <v>604</v>
      </c>
      <c r="C111" s="23"/>
      <c r="D111" s="22"/>
      <c r="E111" s="111">
        <v>0</v>
      </c>
      <c r="F111" s="412">
        <v>0</v>
      </c>
      <c r="G111" s="451">
        <v>0</v>
      </c>
      <c r="H111" s="405"/>
      <c r="I111" s="406">
        <v>2500</v>
      </c>
      <c r="J111" s="407">
        <v>-2500</v>
      </c>
      <c r="K111" s="428"/>
      <c r="L111" s="438">
        <v>7571</v>
      </c>
      <c r="M111" s="438">
        <v>9539</v>
      </c>
      <c r="N111" s="136">
        <f t="shared" si="3"/>
        <v>-1968</v>
      </c>
      <c r="O111" s="121"/>
      <c r="P111" s="38"/>
      <c r="Q111" s="37"/>
      <c r="R111" s="36"/>
      <c r="S111" s="35"/>
      <c r="V111" s="28">
        <v>72.44047619047619</v>
      </c>
    </row>
    <row r="112" spans="1:19" s="28" customFormat="1" ht="13.5">
      <c r="A112" s="33">
        <v>82</v>
      </c>
      <c r="B112" s="103" t="s">
        <v>605</v>
      </c>
      <c r="C112" s="23"/>
      <c r="D112" s="22"/>
      <c r="E112" s="111">
        <v>3700</v>
      </c>
      <c r="F112" s="412">
        <v>2700</v>
      </c>
      <c r="G112" s="451">
        <v>0</v>
      </c>
      <c r="H112" s="405"/>
      <c r="I112" s="406"/>
      <c r="J112" s="407"/>
      <c r="K112" s="428"/>
      <c r="L112" s="438">
        <v>0</v>
      </c>
      <c r="M112" s="438"/>
      <c r="N112" s="136">
        <f t="shared" si="3"/>
        <v>0</v>
      </c>
      <c r="O112" s="121"/>
      <c r="P112" s="38"/>
      <c r="Q112" s="37"/>
      <c r="R112" s="36"/>
      <c r="S112" s="35"/>
    </row>
    <row r="113" spans="1:19" s="28" customFormat="1" ht="13.5">
      <c r="A113" s="33" t="s">
        <v>196</v>
      </c>
      <c r="B113" s="103" t="s">
        <v>606</v>
      </c>
      <c r="C113" s="23"/>
      <c r="D113" s="22"/>
      <c r="E113" s="111">
        <v>15000</v>
      </c>
      <c r="F113" s="412">
        <v>0</v>
      </c>
      <c r="G113" s="451">
        <v>0</v>
      </c>
      <c r="H113" s="405"/>
      <c r="I113" s="406">
        <v>0</v>
      </c>
      <c r="J113" s="407"/>
      <c r="K113" s="428"/>
      <c r="L113" s="438">
        <v>0</v>
      </c>
      <c r="M113" s="438"/>
      <c r="N113" s="136">
        <f t="shared" si="3"/>
        <v>0</v>
      </c>
      <c r="O113" s="24"/>
      <c r="P113" s="38"/>
      <c r="Q113" s="37"/>
      <c r="R113" s="36"/>
      <c r="S113" s="35"/>
    </row>
    <row r="114" spans="1:19" s="28" customFormat="1" ht="13.5">
      <c r="A114" s="33" t="s">
        <v>195</v>
      </c>
      <c r="B114" s="103" t="s">
        <v>607</v>
      </c>
      <c r="C114" s="23"/>
      <c r="D114" s="22"/>
      <c r="E114" s="111">
        <v>0</v>
      </c>
      <c r="F114" s="412">
        <v>0</v>
      </c>
      <c r="G114" s="451">
        <v>0</v>
      </c>
      <c r="H114" s="405"/>
      <c r="I114" s="406">
        <v>0</v>
      </c>
      <c r="J114" s="407"/>
      <c r="K114" s="428"/>
      <c r="L114" s="438">
        <v>0</v>
      </c>
      <c r="M114" s="438"/>
      <c r="N114" s="136">
        <f t="shared" si="3"/>
        <v>0</v>
      </c>
      <c r="O114" s="19"/>
      <c r="P114" s="38"/>
      <c r="Q114" s="37"/>
      <c r="R114" s="36"/>
      <c r="S114" s="35"/>
    </row>
    <row r="115" spans="1:19" s="28" customFormat="1" ht="13.5">
      <c r="A115" s="33" t="s">
        <v>194</v>
      </c>
      <c r="B115" s="103" t="s">
        <v>608</v>
      </c>
      <c r="C115" s="23"/>
      <c r="D115" s="22"/>
      <c r="E115" s="111">
        <v>0</v>
      </c>
      <c r="F115" s="412">
        <v>0</v>
      </c>
      <c r="G115" s="451">
        <v>0</v>
      </c>
      <c r="H115" s="405"/>
      <c r="I115" s="406">
        <v>0</v>
      </c>
      <c r="J115" s="407"/>
      <c r="K115" s="428"/>
      <c r="L115" s="438">
        <v>0</v>
      </c>
      <c r="M115" s="438"/>
      <c r="N115" s="136">
        <f t="shared" si="3"/>
        <v>0</v>
      </c>
      <c r="O115" s="24"/>
      <c r="P115" s="38"/>
      <c r="Q115" s="37"/>
      <c r="R115" s="36"/>
      <c r="S115" s="35"/>
    </row>
    <row r="116" spans="1:19" s="118" customFormat="1" ht="13.5">
      <c r="A116" s="33" t="s">
        <v>193</v>
      </c>
      <c r="B116" s="103" t="s">
        <v>609</v>
      </c>
      <c r="C116" s="23"/>
      <c r="D116" s="22"/>
      <c r="E116" s="111">
        <v>0</v>
      </c>
      <c r="F116" s="412">
        <v>0</v>
      </c>
      <c r="G116" s="451">
        <v>0</v>
      </c>
      <c r="H116" s="405"/>
      <c r="I116" s="406">
        <v>0</v>
      </c>
      <c r="J116" s="407"/>
      <c r="K116" s="428"/>
      <c r="L116" s="438">
        <v>0</v>
      </c>
      <c r="M116" s="438"/>
      <c r="N116" s="136">
        <f t="shared" si="3"/>
        <v>0</v>
      </c>
      <c r="O116" s="24"/>
      <c r="P116" s="38"/>
      <c r="Q116" s="37"/>
      <c r="R116" s="36"/>
      <c r="S116" s="35"/>
    </row>
    <row r="117" spans="1:19" s="28" customFormat="1" ht="13.5">
      <c r="A117" s="33" t="s">
        <v>192</v>
      </c>
      <c r="B117" s="103" t="s">
        <v>610</v>
      </c>
      <c r="C117" s="23"/>
      <c r="D117" s="22"/>
      <c r="E117" s="111">
        <v>0</v>
      </c>
      <c r="F117" s="412">
        <v>0</v>
      </c>
      <c r="G117" s="451">
        <v>0</v>
      </c>
      <c r="H117" s="405"/>
      <c r="I117" s="406">
        <v>0</v>
      </c>
      <c r="J117" s="407"/>
      <c r="K117" s="428"/>
      <c r="L117" s="438">
        <v>0</v>
      </c>
      <c r="M117" s="438"/>
      <c r="N117" s="136">
        <f t="shared" si="3"/>
        <v>0</v>
      </c>
      <c r="O117" s="24"/>
      <c r="P117" s="38"/>
      <c r="Q117" s="37"/>
      <c r="R117" s="36"/>
      <c r="S117" s="35"/>
    </row>
    <row r="118" spans="1:19" s="28" customFormat="1" ht="13.5">
      <c r="A118" s="33">
        <v>84</v>
      </c>
      <c r="B118" s="103" t="s">
        <v>611</v>
      </c>
      <c r="C118" s="23"/>
      <c r="D118" s="22"/>
      <c r="E118" s="111">
        <v>5542</v>
      </c>
      <c r="F118" s="412">
        <v>5000</v>
      </c>
      <c r="G118" s="451">
        <v>15000</v>
      </c>
      <c r="H118" s="405"/>
      <c r="I118" s="406">
        <v>4000</v>
      </c>
      <c r="J118" s="407"/>
      <c r="K118" s="428"/>
      <c r="L118" s="438">
        <v>7886</v>
      </c>
      <c r="M118" s="438">
        <v>3000</v>
      </c>
      <c r="N118" s="136">
        <f t="shared" si="3"/>
        <v>4886</v>
      </c>
      <c r="O118" s="19"/>
      <c r="P118" s="38"/>
      <c r="Q118" s="37"/>
      <c r="R118" s="36"/>
      <c r="S118" s="35"/>
    </row>
    <row r="119" spans="1:19" s="28" customFormat="1" ht="13.5">
      <c r="A119" s="33">
        <v>85</v>
      </c>
      <c r="B119" s="103" t="s">
        <v>621</v>
      </c>
      <c r="C119" s="23"/>
      <c r="D119" s="22"/>
      <c r="E119" s="111">
        <v>0</v>
      </c>
      <c r="F119" s="412">
        <v>0</v>
      </c>
      <c r="G119" s="451">
        <v>0</v>
      </c>
      <c r="H119" s="405"/>
      <c r="I119" s="406">
        <v>0</v>
      </c>
      <c r="J119" s="407"/>
      <c r="K119" s="428"/>
      <c r="L119" s="438">
        <v>0</v>
      </c>
      <c r="M119" s="438"/>
      <c r="N119" s="136">
        <f t="shared" si="3"/>
        <v>0</v>
      </c>
      <c r="O119" s="19"/>
      <c r="P119" s="38"/>
      <c r="Q119" s="37"/>
      <c r="R119" s="36"/>
      <c r="S119" s="35"/>
    </row>
    <row r="120" spans="1:19" s="28" customFormat="1" ht="13.5">
      <c r="A120" s="524">
        <v>86</v>
      </c>
      <c r="B120" s="103" t="s">
        <v>612</v>
      </c>
      <c r="C120" s="23"/>
      <c r="D120" s="22"/>
      <c r="E120" s="111">
        <v>65710</v>
      </c>
      <c r="F120" s="412">
        <v>67352.75</v>
      </c>
      <c r="G120" s="451">
        <v>0</v>
      </c>
      <c r="H120" s="405"/>
      <c r="I120" s="406">
        <v>0</v>
      </c>
      <c r="J120" s="407"/>
      <c r="K120" s="428"/>
      <c r="L120" s="438">
        <v>0</v>
      </c>
      <c r="M120" s="438">
        <f>'GV'!C50</f>
        <v>66091</v>
      </c>
      <c r="N120" s="136">
        <f t="shared" si="3"/>
        <v>-66091</v>
      </c>
      <c r="O120" s="24"/>
      <c r="P120" s="38"/>
      <c r="Q120" s="37"/>
      <c r="R120" s="36"/>
      <c r="S120" s="35"/>
    </row>
    <row r="121" spans="1:19" s="39" customFormat="1" ht="13.5">
      <c r="A121" s="524">
        <v>87</v>
      </c>
      <c r="B121" s="103" t="s">
        <v>613</v>
      </c>
      <c r="C121" s="23"/>
      <c r="D121" s="22"/>
      <c r="E121" s="111">
        <v>797</v>
      </c>
      <c r="F121" s="412">
        <v>0</v>
      </c>
      <c r="G121" s="451">
        <v>585</v>
      </c>
      <c r="H121" s="405"/>
      <c r="I121" s="406">
        <v>500</v>
      </c>
      <c r="J121" s="407"/>
      <c r="K121" s="428"/>
      <c r="L121" s="438">
        <v>200</v>
      </c>
      <c r="M121" s="438">
        <v>200</v>
      </c>
      <c r="N121" s="136">
        <f t="shared" si="3"/>
        <v>0</v>
      </c>
      <c r="O121" s="19"/>
      <c r="P121" s="117"/>
      <c r="Q121" s="116"/>
      <c r="R121" s="115"/>
      <c r="S121" s="114"/>
    </row>
    <row r="122" spans="1:19" s="28" customFormat="1" ht="13.5">
      <c r="A122" s="524">
        <v>88</v>
      </c>
      <c r="B122" s="103" t="s">
        <v>614</v>
      </c>
      <c r="C122" s="23"/>
      <c r="D122" s="22"/>
      <c r="E122" s="111">
        <v>2000</v>
      </c>
      <c r="F122" s="412">
        <v>2000</v>
      </c>
      <c r="G122" s="451">
        <v>1000</v>
      </c>
      <c r="H122" s="405"/>
      <c r="I122" s="406">
        <v>0</v>
      </c>
      <c r="J122" s="407"/>
      <c r="K122" s="428"/>
      <c r="L122" s="438">
        <v>0</v>
      </c>
      <c r="M122" s="438"/>
      <c r="N122" s="136">
        <f t="shared" si="3"/>
        <v>0</v>
      </c>
      <c r="O122" s="19"/>
      <c r="P122" s="38"/>
      <c r="Q122" s="37"/>
      <c r="R122" s="36"/>
      <c r="S122" s="35"/>
    </row>
    <row r="123" spans="1:19" s="39" customFormat="1" ht="13.5">
      <c r="A123" s="524">
        <v>89</v>
      </c>
      <c r="B123" s="103" t="s">
        <v>615</v>
      </c>
      <c r="C123" s="23"/>
      <c r="D123" s="22"/>
      <c r="E123" s="111">
        <v>1100</v>
      </c>
      <c r="F123" s="412">
        <v>1100</v>
      </c>
      <c r="G123" s="451">
        <v>0</v>
      </c>
      <c r="H123" s="405"/>
      <c r="I123" s="406">
        <v>0</v>
      </c>
      <c r="J123" s="407"/>
      <c r="K123" s="428"/>
      <c r="L123" s="438">
        <v>0</v>
      </c>
      <c r="M123" s="438"/>
      <c r="N123" s="136">
        <f t="shared" si="3"/>
        <v>0</v>
      </c>
      <c r="O123" s="19"/>
      <c r="P123" s="117"/>
      <c r="Q123" s="116"/>
      <c r="R123" s="115"/>
      <c r="S123" s="114"/>
    </row>
    <row r="124" spans="1:19" s="28" customFormat="1" ht="13.5">
      <c r="A124" s="524">
        <v>91</v>
      </c>
      <c r="B124" s="103" t="s">
        <v>191</v>
      </c>
      <c r="C124" s="23"/>
      <c r="D124" s="22" t="s">
        <v>34</v>
      </c>
      <c r="E124" s="111">
        <v>56949.99999999999</v>
      </c>
      <c r="F124" s="412">
        <v>58000</v>
      </c>
      <c r="G124" s="451">
        <v>68959</v>
      </c>
      <c r="H124" s="405"/>
      <c r="I124" s="406">
        <v>34537</v>
      </c>
      <c r="J124" s="407"/>
      <c r="K124" s="428"/>
      <c r="L124" s="438">
        <v>12590</v>
      </c>
      <c r="M124" s="438">
        <f>QHCS!C30</f>
        <v>33885</v>
      </c>
      <c r="N124" s="136">
        <f t="shared" si="3"/>
        <v>-21295</v>
      </c>
      <c r="O124" s="24"/>
      <c r="P124" s="38"/>
      <c r="Q124" s="37"/>
      <c r="R124" s="36"/>
      <c r="S124" s="35"/>
    </row>
    <row r="125" spans="1:19" s="28" customFormat="1" ht="13.5">
      <c r="A125" s="524" t="s">
        <v>190</v>
      </c>
      <c r="B125" s="103" t="s">
        <v>115</v>
      </c>
      <c r="C125" s="23"/>
      <c r="D125" s="22" t="s">
        <v>34</v>
      </c>
      <c r="E125" s="111">
        <v>0</v>
      </c>
      <c r="F125" s="412">
        <v>0</v>
      </c>
      <c r="G125" s="451">
        <v>0</v>
      </c>
      <c r="H125" s="405"/>
      <c r="I125" s="406">
        <v>0</v>
      </c>
      <c r="J125" s="407"/>
      <c r="K125" s="428"/>
      <c r="L125" s="438">
        <v>0</v>
      </c>
      <c r="M125" s="438"/>
      <c r="N125" s="136">
        <f t="shared" si="3"/>
        <v>0</v>
      </c>
      <c r="O125" s="19"/>
      <c r="P125" s="38"/>
      <c r="Q125" s="37"/>
      <c r="R125" s="36"/>
      <c r="S125" s="35"/>
    </row>
    <row r="126" spans="1:19" s="28" customFormat="1" ht="13.5">
      <c r="A126" s="524" t="s">
        <v>189</v>
      </c>
      <c r="B126" s="103" t="s">
        <v>156</v>
      </c>
      <c r="C126" s="23"/>
      <c r="D126" s="22"/>
      <c r="E126" s="111">
        <v>0</v>
      </c>
      <c r="F126" s="412">
        <v>0</v>
      </c>
      <c r="G126" s="451">
        <v>0</v>
      </c>
      <c r="H126" s="405"/>
      <c r="I126" s="406">
        <v>0</v>
      </c>
      <c r="J126" s="407"/>
      <c r="K126" s="428"/>
      <c r="L126" s="438">
        <v>0</v>
      </c>
      <c r="M126" s="438"/>
      <c r="N126" s="136">
        <f t="shared" si="3"/>
        <v>0</v>
      </c>
      <c r="O126" s="19"/>
      <c r="P126" s="38"/>
      <c r="Q126" s="37"/>
      <c r="R126" s="36"/>
      <c r="S126" s="35"/>
    </row>
    <row r="127" spans="1:19" s="28" customFormat="1" ht="13.5">
      <c r="A127" s="524">
        <v>92</v>
      </c>
      <c r="B127" s="103" t="s">
        <v>114</v>
      </c>
      <c r="C127" s="23"/>
      <c r="D127" s="22"/>
      <c r="E127" s="111">
        <v>439</v>
      </c>
      <c r="F127" s="412">
        <v>439</v>
      </c>
      <c r="G127" s="451">
        <v>1100</v>
      </c>
      <c r="H127" s="405"/>
      <c r="I127" s="406"/>
      <c r="J127" s="407"/>
      <c r="K127" s="428"/>
      <c r="L127" s="438">
        <v>0</v>
      </c>
      <c r="M127" s="438"/>
      <c r="N127" s="136">
        <f t="shared" si="3"/>
        <v>0</v>
      </c>
      <c r="O127" s="19"/>
      <c r="P127" s="38"/>
      <c r="Q127" s="37"/>
      <c r="R127" s="36"/>
      <c r="S127" s="35"/>
    </row>
    <row r="128" spans="1:19" s="28" customFormat="1" ht="13.5">
      <c r="A128" s="524">
        <v>93</v>
      </c>
      <c r="B128" s="103" t="s">
        <v>616</v>
      </c>
      <c r="C128" s="23"/>
      <c r="D128" s="22"/>
      <c r="E128" s="111">
        <v>0</v>
      </c>
      <c r="F128" s="412">
        <v>0</v>
      </c>
      <c r="G128" s="451">
        <v>0</v>
      </c>
      <c r="H128" s="405"/>
      <c r="I128" s="406">
        <v>0</v>
      </c>
      <c r="J128" s="407"/>
      <c r="K128" s="428"/>
      <c r="L128" s="438">
        <v>0</v>
      </c>
      <c r="M128" s="438"/>
      <c r="N128" s="136">
        <f t="shared" si="3"/>
        <v>0</v>
      </c>
      <c r="O128" s="19"/>
      <c r="P128" s="38"/>
      <c r="Q128" s="37"/>
      <c r="R128" s="36"/>
      <c r="S128" s="35"/>
    </row>
    <row r="129" spans="1:19" s="28" customFormat="1" ht="13.5">
      <c r="A129" s="524">
        <v>94</v>
      </c>
      <c r="B129" s="103" t="s">
        <v>188</v>
      </c>
      <c r="C129" s="23"/>
      <c r="D129" s="22" t="s">
        <v>34</v>
      </c>
      <c r="E129" s="111">
        <v>0</v>
      </c>
      <c r="F129" s="412">
        <v>0</v>
      </c>
      <c r="G129" s="451">
        <v>0</v>
      </c>
      <c r="H129" s="405"/>
      <c r="I129" s="406">
        <v>0</v>
      </c>
      <c r="J129" s="407"/>
      <c r="K129" s="428"/>
      <c r="L129" s="438">
        <v>0</v>
      </c>
      <c r="M129" s="438"/>
      <c r="N129" s="136">
        <f t="shared" si="3"/>
        <v>0</v>
      </c>
      <c r="O129" s="19"/>
      <c r="P129" s="38"/>
      <c r="Q129" s="37"/>
      <c r="R129" s="36"/>
      <c r="S129" s="35"/>
    </row>
    <row r="130" spans="1:19" s="28" customFormat="1" ht="15" customHeight="1">
      <c r="A130" s="524">
        <v>95</v>
      </c>
      <c r="B130" s="103" t="s">
        <v>113</v>
      </c>
      <c r="C130" s="23"/>
      <c r="D130" s="22"/>
      <c r="E130" s="111">
        <v>25000</v>
      </c>
      <c r="F130" s="412">
        <v>23000</v>
      </c>
      <c r="G130" s="451">
        <v>25000</v>
      </c>
      <c r="H130" s="405"/>
      <c r="I130" s="406">
        <v>10000</v>
      </c>
      <c r="J130" s="407"/>
      <c r="K130" s="428"/>
      <c r="L130" s="438">
        <v>10000</v>
      </c>
      <c r="M130" s="438">
        <v>10000</v>
      </c>
      <c r="N130" s="136">
        <f t="shared" si="3"/>
        <v>0</v>
      </c>
      <c r="O130" s="19"/>
      <c r="P130" s="38"/>
      <c r="Q130" s="37"/>
      <c r="R130" s="36"/>
      <c r="S130" s="35"/>
    </row>
    <row r="131" spans="1:19" s="28" customFormat="1" ht="13.5">
      <c r="A131" s="524" t="s">
        <v>187</v>
      </c>
      <c r="B131" s="103" t="s">
        <v>617</v>
      </c>
      <c r="C131" s="23"/>
      <c r="D131" s="22" t="s">
        <v>34</v>
      </c>
      <c r="E131" s="111">
        <v>42888</v>
      </c>
      <c r="F131" s="412">
        <v>43960.2</v>
      </c>
      <c r="G131" s="451">
        <v>48576</v>
      </c>
      <c r="H131" s="405"/>
      <c r="I131" s="406"/>
      <c r="J131" s="407"/>
      <c r="K131" s="428"/>
      <c r="L131" s="438">
        <v>48790</v>
      </c>
      <c r="M131" s="438">
        <f>QHCS!C15</f>
        <v>49720.5</v>
      </c>
      <c r="N131" s="136">
        <f t="shared" si="3"/>
        <v>-930.5</v>
      </c>
      <c r="O131" s="24"/>
      <c r="P131" s="38"/>
      <c r="Q131" s="37"/>
      <c r="R131" s="36"/>
      <c r="S131" s="35"/>
    </row>
    <row r="132" spans="1:19" s="28" customFormat="1" ht="13.5">
      <c r="A132" s="524" t="s">
        <v>186</v>
      </c>
      <c r="B132" s="103" t="s">
        <v>618</v>
      </c>
      <c r="C132" s="23"/>
      <c r="D132" s="22" t="s">
        <v>34</v>
      </c>
      <c r="E132" s="111">
        <v>22004.699999999997</v>
      </c>
      <c r="F132" s="412">
        <v>21467.6</v>
      </c>
      <c r="G132" s="451">
        <v>23485</v>
      </c>
      <c r="H132" s="405"/>
      <c r="I132" s="406"/>
      <c r="J132" s="407"/>
      <c r="K132" s="428"/>
      <c r="L132" s="438">
        <v>0</v>
      </c>
      <c r="M132" s="438"/>
      <c r="N132" s="136">
        <f t="shared" si="3"/>
        <v>0</v>
      </c>
      <c r="O132" s="19"/>
      <c r="P132" s="38"/>
      <c r="Q132" s="37"/>
      <c r="R132" s="36"/>
      <c r="S132" s="35"/>
    </row>
    <row r="133" spans="1:19" s="28" customFormat="1" ht="13.5">
      <c r="A133" s="524">
        <v>100</v>
      </c>
      <c r="B133" s="103" t="s">
        <v>185</v>
      </c>
      <c r="C133" s="23"/>
      <c r="D133" s="22" t="s">
        <v>34</v>
      </c>
      <c r="E133" s="111">
        <v>0</v>
      </c>
      <c r="F133" s="412">
        <v>0</v>
      </c>
      <c r="G133" s="451">
        <v>0</v>
      </c>
      <c r="H133" s="405"/>
      <c r="I133" s="406">
        <v>0</v>
      </c>
      <c r="J133" s="407"/>
      <c r="K133" s="428"/>
      <c r="L133" s="438">
        <v>0</v>
      </c>
      <c r="M133" s="438"/>
      <c r="N133" s="136">
        <f t="shared" si="3"/>
        <v>0</v>
      </c>
      <c r="O133" s="19"/>
      <c r="P133" s="38"/>
      <c r="Q133" s="37"/>
      <c r="R133" s="36"/>
      <c r="S133" s="35"/>
    </row>
    <row r="134" spans="1:19" s="28" customFormat="1" ht="13.5">
      <c r="A134" s="524">
        <v>101</v>
      </c>
      <c r="B134" s="103" t="s">
        <v>619</v>
      </c>
      <c r="C134" s="23"/>
      <c r="D134" s="22" t="s">
        <v>34</v>
      </c>
      <c r="E134" s="111">
        <v>112653</v>
      </c>
      <c r="F134" s="412">
        <v>68091.12</v>
      </c>
      <c r="G134" s="451">
        <v>59326</v>
      </c>
      <c r="H134" s="405"/>
      <c r="I134" s="406"/>
      <c r="J134" s="407"/>
      <c r="K134" s="428"/>
      <c r="L134" s="438">
        <v>0</v>
      </c>
      <c r="M134" s="438"/>
      <c r="N134" s="136">
        <f t="shared" si="3"/>
        <v>0</v>
      </c>
      <c r="O134" s="24"/>
      <c r="P134" s="38"/>
      <c r="Q134" s="37"/>
      <c r="R134" s="36"/>
      <c r="S134" s="35"/>
    </row>
    <row r="135" spans="1:19" s="28" customFormat="1" ht="13.5">
      <c r="A135" s="524">
        <v>102</v>
      </c>
      <c r="B135" s="103" t="s">
        <v>104</v>
      </c>
      <c r="C135" s="23"/>
      <c r="D135" s="22"/>
      <c r="E135" s="111">
        <v>500</v>
      </c>
      <c r="F135" s="412">
        <v>500</v>
      </c>
      <c r="G135" s="451">
        <v>500</v>
      </c>
      <c r="H135" s="405"/>
      <c r="I135" s="406"/>
      <c r="J135" s="407"/>
      <c r="K135" s="428"/>
      <c r="L135" s="438">
        <v>0</v>
      </c>
      <c r="M135" s="438"/>
      <c r="N135" s="136">
        <f t="shared" si="3"/>
        <v>0</v>
      </c>
      <c r="O135" s="19"/>
      <c r="P135" s="38"/>
      <c r="Q135" s="37"/>
      <c r="R135" s="36"/>
      <c r="S135" s="35"/>
    </row>
    <row r="136" spans="1:19" s="28" customFormat="1" ht="13.5">
      <c r="A136" s="524">
        <v>103</v>
      </c>
      <c r="B136" s="103" t="s">
        <v>103</v>
      </c>
      <c r="C136" s="23"/>
      <c r="D136" s="22"/>
      <c r="E136" s="111">
        <v>0</v>
      </c>
      <c r="F136" s="412">
        <v>0</v>
      </c>
      <c r="G136" s="451">
        <v>0</v>
      </c>
      <c r="H136" s="405"/>
      <c r="I136" s="406">
        <v>0</v>
      </c>
      <c r="J136" s="407"/>
      <c r="K136" s="428"/>
      <c r="L136" s="438">
        <v>0</v>
      </c>
      <c r="M136" s="438"/>
      <c r="N136" s="136">
        <f t="shared" si="3"/>
        <v>0</v>
      </c>
      <c r="O136" s="19"/>
      <c r="P136" s="38"/>
      <c r="Q136" s="37"/>
      <c r="R136" s="36"/>
      <c r="S136" s="35"/>
    </row>
    <row r="137" spans="1:19" s="80" customFormat="1" ht="13.5">
      <c r="A137" s="524">
        <v>108</v>
      </c>
      <c r="B137" s="103" t="s">
        <v>184</v>
      </c>
      <c r="C137" s="23"/>
      <c r="D137" s="22"/>
      <c r="E137" s="111">
        <v>0</v>
      </c>
      <c r="F137" s="412">
        <v>0</v>
      </c>
      <c r="G137" s="451">
        <v>0</v>
      </c>
      <c r="H137" s="405"/>
      <c r="I137" s="406">
        <v>0</v>
      </c>
      <c r="J137" s="407"/>
      <c r="K137" s="428"/>
      <c r="L137" s="438">
        <v>0</v>
      </c>
      <c r="M137" s="438"/>
      <c r="N137" s="136">
        <f t="shared" si="3"/>
        <v>0</v>
      </c>
      <c r="O137" s="19"/>
      <c r="P137" s="38"/>
      <c r="Q137" s="37"/>
      <c r="R137" s="36"/>
      <c r="S137" s="35"/>
    </row>
    <row r="138" spans="1:19" s="28" customFormat="1" ht="13.5">
      <c r="A138" s="524">
        <v>109</v>
      </c>
      <c r="B138" s="103" t="s">
        <v>101</v>
      </c>
      <c r="C138" s="23"/>
      <c r="D138" s="22"/>
      <c r="E138" s="111">
        <v>0</v>
      </c>
      <c r="F138" s="412">
        <v>0</v>
      </c>
      <c r="G138" s="451">
        <v>0</v>
      </c>
      <c r="H138" s="405"/>
      <c r="I138" s="406">
        <v>0</v>
      </c>
      <c r="J138" s="407"/>
      <c r="K138" s="428"/>
      <c r="L138" s="438">
        <v>0</v>
      </c>
      <c r="M138" s="438"/>
      <c r="N138" s="136">
        <f t="shared" si="3"/>
        <v>0</v>
      </c>
      <c r="O138" s="24"/>
      <c r="P138" s="38"/>
      <c r="Q138" s="37"/>
      <c r="R138" s="36"/>
      <c r="S138" s="35"/>
    </row>
    <row r="139" spans="1:19" s="28" customFormat="1" ht="13.5">
      <c r="A139" s="524">
        <v>110</v>
      </c>
      <c r="B139" s="103" t="s">
        <v>183</v>
      </c>
      <c r="C139" s="23"/>
      <c r="D139" s="22"/>
      <c r="E139" s="111">
        <v>0</v>
      </c>
      <c r="F139" s="412">
        <v>0</v>
      </c>
      <c r="G139" s="451">
        <v>0</v>
      </c>
      <c r="H139" s="405"/>
      <c r="I139" s="406">
        <v>0</v>
      </c>
      <c r="J139" s="407"/>
      <c r="K139" s="428"/>
      <c r="L139" s="438">
        <v>500</v>
      </c>
      <c r="M139" s="438">
        <v>500</v>
      </c>
      <c r="N139" s="136">
        <f t="shared" si="3"/>
        <v>0</v>
      </c>
      <c r="O139" s="24"/>
      <c r="P139" s="38"/>
      <c r="Q139" s="37"/>
      <c r="R139" s="36"/>
      <c r="S139" s="35"/>
    </row>
    <row r="140" spans="1:19" s="77" customFormat="1" ht="13.5" customHeight="1">
      <c r="A140" s="524">
        <v>111</v>
      </c>
      <c r="B140" s="103" t="s">
        <v>182</v>
      </c>
      <c r="C140" s="23"/>
      <c r="D140" s="22" t="s">
        <v>34</v>
      </c>
      <c r="E140" s="111">
        <v>61108</v>
      </c>
      <c r="F140" s="412">
        <v>62330.16</v>
      </c>
      <c r="G140" s="451">
        <v>64851</v>
      </c>
      <c r="H140" s="405"/>
      <c r="I140" s="406">
        <v>69258</v>
      </c>
      <c r="J140" s="407"/>
      <c r="K140" s="428"/>
      <c r="L140" s="438">
        <v>66778</v>
      </c>
      <c r="M140" s="438">
        <f>QHCS!C27</f>
        <v>68114</v>
      </c>
      <c r="N140" s="136">
        <f t="shared" si="3"/>
        <v>-1336</v>
      </c>
      <c r="O140" s="24"/>
      <c r="P140" s="38"/>
      <c r="Q140" s="37"/>
      <c r="R140" s="36"/>
      <c r="S140" s="35"/>
    </row>
    <row r="141" spans="1:19" s="28" customFormat="1" ht="13.5">
      <c r="A141" s="524" t="s">
        <v>181</v>
      </c>
      <c r="B141" s="103" t="s">
        <v>98</v>
      </c>
      <c r="C141" s="113"/>
      <c r="D141" s="112"/>
      <c r="E141" s="111">
        <v>1493</v>
      </c>
      <c r="F141" s="412">
        <v>1493</v>
      </c>
      <c r="G141" s="451">
        <v>1493</v>
      </c>
      <c r="H141" s="405"/>
      <c r="I141" s="406">
        <v>1493</v>
      </c>
      <c r="J141" s="407"/>
      <c r="K141" s="428"/>
      <c r="L141" s="438">
        <v>1493</v>
      </c>
      <c r="M141" s="438">
        <v>1493</v>
      </c>
      <c r="N141" s="136">
        <f t="shared" si="3"/>
        <v>0</v>
      </c>
      <c r="O141" s="24"/>
      <c r="P141" s="38"/>
      <c r="Q141" s="37"/>
      <c r="R141" s="36"/>
      <c r="S141" s="35"/>
    </row>
    <row r="142" spans="1:19" s="28" customFormat="1" ht="13.5">
      <c r="A142" s="524">
        <v>112</v>
      </c>
      <c r="B142" s="103" t="s">
        <v>96</v>
      </c>
      <c r="C142" s="113"/>
      <c r="D142" s="112"/>
      <c r="E142" s="111">
        <v>2650</v>
      </c>
      <c r="F142" s="412">
        <v>2650</v>
      </c>
      <c r="G142" s="451">
        <v>2600</v>
      </c>
      <c r="H142" s="405"/>
      <c r="I142" s="406">
        <v>750</v>
      </c>
      <c r="J142" s="407"/>
      <c r="K142" s="428"/>
      <c r="L142" s="438">
        <v>750</v>
      </c>
      <c r="M142" s="438">
        <v>750</v>
      </c>
      <c r="N142" s="136">
        <f t="shared" si="3"/>
        <v>0</v>
      </c>
      <c r="O142" s="24"/>
      <c r="P142" s="38"/>
      <c r="Q142" s="37"/>
      <c r="R142" s="36"/>
      <c r="S142" s="35"/>
    </row>
    <row r="143" spans="1:19" s="28" customFormat="1" ht="13.5">
      <c r="A143" s="524">
        <v>113</v>
      </c>
      <c r="B143" s="103" t="s">
        <v>720</v>
      </c>
      <c r="C143" s="23"/>
      <c r="D143" s="22"/>
      <c r="E143" s="111">
        <v>0</v>
      </c>
      <c r="F143" s="412">
        <v>0</v>
      </c>
      <c r="G143" s="451">
        <v>0</v>
      </c>
      <c r="H143" s="405"/>
      <c r="I143" s="406">
        <v>0</v>
      </c>
      <c r="J143" s="407"/>
      <c r="K143" s="428"/>
      <c r="L143" s="438">
        <v>11340</v>
      </c>
      <c r="M143" s="438"/>
      <c r="N143" s="136">
        <f t="shared" si="3"/>
        <v>11340</v>
      </c>
      <c r="O143" s="24"/>
      <c r="P143" s="38"/>
      <c r="Q143" s="37"/>
      <c r="R143" s="36"/>
      <c r="S143" s="35"/>
    </row>
    <row r="144" spans="1:19" s="28" customFormat="1" ht="13.5">
      <c r="A144" s="524">
        <v>114</v>
      </c>
      <c r="B144" s="103" t="s">
        <v>95</v>
      </c>
      <c r="C144" s="23"/>
      <c r="D144" s="22"/>
      <c r="E144" s="111">
        <v>0</v>
      </c>
      <c r="F144" s="412">
        <v>0</v>
      </c>
      <c r="G144" s="451">
        <v>0</v>
      </c>
      <c r="H144" s="405"/>
      <c r="I144" s="406">
        <v>0</v>
      </c>
      <c r="J144" s="407"/>
      <c r="K144" s="428"/>
      <c r="L144" s="438">
        <v>0</v>
      </c>
      <c r="M144" s="438"/>
      <c r="N144" s="136">
        <f t="shared" si="3"/>
        <v>0</v>
      </c>
      <c r="O144" s="24"/>
      <c r="P144" s="38"/>
      <c r="Q144" s="37"/>
      <c r="R144" s="36"/>
      <c r="S144" s="35"/>
    </row>
    <row r="145" spans="1:19" s="28" customFormat="1" ht="13.5">
      <c r="A145" s="524">
        <v>115</v>
      </c>
      <c r="B145" s="103"/>
      <c r="C145" s="23"/>
      <c r="D145" s="22"/>
      <c r="E145" s="111">
        <v>0</v>
      </c>
      <c r="F145" s="412">
        <v>0</v>
      </c>
      <c r="G145" s="451">
        <v>0</v>
      </c>
      <c r="H145" s="405"/>
      <c r="I145" s="406">
        <v>0</v>
      </c>
      <c r="J145" s="407"/>
      <c r="K145" s="428"/>
      <c r="L145" s="438">
        <v>0</v>
      </c>
      <c r="M145" s="438"/>
      <c r="N145" s="136">
        <f t="shared" si="3"/>
        <v>0</v>
      </c>
      <c r="O145" s="24"/>
      <c r="P145" s="38"/>
      <c r="Q145" s="37"/>
      <c r="R145" s="36"/>
      <c r="S145" s="35"/>
    </row>
    <row r="146" spans="1:19" s="28" customFormat="1" ht="13.5">
      <c r="A146" s="524">
        <v>116</v>
      </c>
      <c r="B146" s="119" t="s">
        <v>180</v>
      </c>
      <c r="C146" s="23"/>
      <c r="D146" s="22" t="s">
        <v>34</v>
      </c>
      <c r="E146" s="111">
        <v>29366</v>
      </c>
      <c r="F146" s="412">
        <v>25260.149999999998</v>
      </c>
      <c r="G146" s="451">
        <v>34540</v>
      </c>
      <c r="H146" s="405"/>
      <c r="I146" s="406">
        <v>25724</v>
      </c>
      <c r="J146" s="407"/>
      <c r="K146" s="428"/>
      <c r="L146" s="438">
        <v>23093</v>
      </c>
      <c r="M146" s="438">
        <f>QHCS!C24</f>
        <v>12493.279999999999</v>
      </c>
      <c r="N146" s="136">
        <f t="shared" si="3"/>
        <v>10599.720000000001</v>
      </c>
      <c r="O146" s="24"/>
      <c r="P146" s="38"/>
      <c r="Q146" s="37"/>
      <c r="R146" s="36"/>
      <c r="S146" s="35"/>
    </row>
    <row r="147" spans="1:19" s="28" customFormat="1" ht="13.5">
      <c r="A147" s="524" t="s">
        <v>179</v>
      </c>
      <c r="B147" s="103" t="s">
        <v>178</v>
      </c>
      <c r="C147" s="23"/>
      <c r="D147" s="22" t="s">
        <v>34</v>
      </c>
      <c r="E147" s="111">
        <v>0</v>
      </c>
      <c r="F147" s="412">
        <v>0</v>
      </c>
      <c r="G147" s="451">
        <v>0</v>
      </c>
      <c r="H147" s="405"/>
      <c r="I147" s="406">
        <v>0</v>
      </c>
      <c r="J147" s="407"/>
      <c r="K147" s="428"/>
      <c r="L147" s="438">
        <v>0</v>
      </c>
      <c r="M147" s="438"/>
      <c r="N147" s="136">
        <f t="shared" si="3"/>
        <v>0</v>
      </c>
      <c r="O147" s="24"/>
      <c r="P147" s="38"/>
      <c r="Q147" s="37"/>
      <c r="R147" s="36"/>
      <c r="S147" s="35"/>
    </row>
    <row r="148" spans="1:19" s="802" customFormat="1" ht="16.5" customHeight="1" thickBot="1">
      <c r="A148" s="812" t="s">
        <v>177</v>
      </c>
      <c r="B148" s="561" t="s">
        <v>176</v>
      </c>
      <c r="C148" s="66"/>
      <c r="D148" s="17"/>
      <c r="E148" s="110">
        <v>2400</v>
      </c>
      <c r="F148" s="413">
        <v>2400</v>
      </c>
      <c r="G148" s="452">
        <v>2500</v>
      </c>
      <c r="H148" s="164"/>
      <c r="I148" s="483"/>
      <c r="J148" s="562"/>
      <c r="K148" s="484"/>
      <c r="L148" s="461"/>
      <c r="M148" s="461"/>
      <c r="N148" s="851">
        <f t="shared" si="3"/>
        <v>0</v>
      </c>
      <c r="O148" s="109"/>
      <c r="P148" s="76"/>
      <c r="Q148" s="75"/>
      <c r="R148" s="74"/>
      <c r="S148" s="73"/>
    </row>
    <row r="149" spans="1:21" ht="13.5" customHeight="1" thickBot="1">
      <c r="A149" s="743"/>
      <c r="B149" s="806"/>
      <c r="C149" s="405"/>
      <c r="D149" s="22"/>
      <c r="E149" s="13"/>
      <c r="F149" s="13"/>
      <c r="G149" s="807"/>
      <c r="H149" s="13"/>
      <c r="I149" s="808">
        <v>0</v>
      </c>
      <c r="J149" s="809"/>
      <c r="K149" s="642"/>
      <c r="L149" s="810"/>
      <c r="M149" s="810"/>
      <c r="N149" s="642"/>
      <c r="O149" s="811"/>
      <c r="P149" s="91"/>
      <c r="Q149" s="91"/>
      <c r="R149" s="91"/>
      <c r="S149" s="91"/>
      <c r="T149" s="91"/>
      <c r="U149" s="91"/>
    </row>
    <row r="150" spans="1:24" s="108" customFormat="1" ht="14.25" thickBot="1">
      <c r="A150" s="490"/>
      <c r="B150" s="555" t="s">
        <v>622</v>
      </c>
      <c r="C150" s="684"/>
      <c r="D150" s="707"/>
      <c r="E150" s="563">
        <v>1906266.77</v>
      </c>
      <c r="F150" s="683"/>
      <c r="G150" s="563">
        <f>SUM(G151:G219)</f>
        <v>1750460.572774</v>
      </c>
      <c r="H150" s="720"/>
      <c r="I150" s="710">
        <v>2967058.60343</v>
      </c>
      <c r="J150" s="721"/>
      <c r="K150" s="722">
        <v>0</v>
      </c>
      <c r="L150" s="557">
        <f>SUM(L151:L219)</f>
        <v>2861587</v>
      </c>
      <c r="M150" s="557">
        <f>SUM(M151:M219)</f>
        <v>2892245.53</v>
      </c>
      <c r="N150" s="677">
        <f t="shared" si="3"/>
        <v>-30658.529999999795</v>
      </c>
      <c r="O150" s="723"/>
      <c r="P150" s="724">
        <v>0</v>
      </c>
      <c r="Q150" s="725">
        <v>0</v>
      </c>
      <c r="R150" s="725">
        <v>0</v>
      </c>
      <c r="S150" s="726">
        <v>0</v>
      </c>
      <c r="X150" s="727"/>
    </row>
    <row r="151" spans="1:19" ht="13.5">
      <c r="A151" s="150">
        <v>143</v>
      </c>
      <c r="B151" s="559" t="s">
        <v>623</v>
      </c>
      <c r="C151" s="100"/>
      <c r="D151" s="22" t="s">
        <v>34</v>
      </c>
      <c r="E151" s="705">
        <v>92298.3</v>
      </c>
      <c r="F151" s="706">
        <v>87000</v>
      </c>
      <c r="G151" s="453">
        <v>97421</v>
      </c>
      <c r="H151" s="405"/>
      <c r="I151" s="719">
        <v>102292.05</v>
      </c>
      <c r="J151" s="564"/>
      <c r="K151" s="521"/>
      <c r="L151" s="437">
        <v>100343</v>
      </c>
      <c r="M151" s="437">
        <f>OTHER!C33</f>
        <v>95000</v>
      </c>
      <c r="N151" s="136">
        <f t="shared" si="3"/>
        <v>5343</v>
      </c>
      <c r="O151" s="67"/>
      <c r="P151" s="87"/>
      <c r="Q151" s="86"/>
      <c r="R151" s="85"/>
      <c r="S151" s="84"/>
    </row>
    <row r="152" spans="1:19" s="28" customFormat="1" ht="13.5">
      <c r="A152" s="33">
        <v>145</v>
      </c>
      <c r="B152" s="103" t="s">
        <v>624</v>
      </c>
      <c r="C152" s="100"/>
      <c r="D152" s="22" t="s">
        <v>34</v>
      </c>
      <c r="E152" s="99">
        <v>59740</v>
      </c>
      <c r="F152" s="412">
        <v>68575</v>
      </c>
      <c r="G152" s="451">
        <v>67839.25050000001</v>
      </c>
      <c r="H152" s="405"/>
      <c r="I152" s="565">
        <v>85000</v>
      </c>
      <c r="J152" s="407"/>
      <c r="K152" s="428"/>
      <c r="L152" s="438">
        <v>84690</v>
      </c>
      <c r="M152" s="438">
        <f>OTHER!C34</f>
        <v>80000</v>
      </c>
      <c r="N152" s="136">
        <f t="shared" si="3"/>
        <v>4690</v>
      </c>
      <c r="O152" s="24"/>
      <c r="P152" s="38"/>
      <c r="Q152" s="37"/>
      <c r="R152" s="36"/>
      <c r="S152" s="35"/>
    </row>
    <row r="153" spans="1:19" s="28" customFormat="1" ht="13.5">
      <c r="A153" s="33">
        <v>146</v>
      </c>
      <c r="B153" s="103" t="s">
        <v>625</v>
      </c>
      <c r="C153" s="23"/>
      <c r="D153" s="22"/>
      <c r="E153" s="99">
        <v>850</v>
      </c>
      <c r="F153" s="412">
        <v>900</v>
      </c>
      <c r="G153" s="451">
        <v>850</v>
      </c>
      <c r="H153" s="405"/>
      <c r="I153" s="406">
        <v>850</v>
      </c>
      <c r="J153" s="407"/>
      <c r="K153" s="428"/>
      <c r="L153" s="438">
        <v>1850</v>
      </c>
      <c r="M153" s="438">
        <v>1850</v>
      </c>
      <c r="N153" s="136">
        <f t="shared" si="3"/>
        <v>0</v>
      </c>
      <c r="O153" s="29"/>
      <c r="P153" s="38"/>
      <c r="Q153" s="37"/>
      <c r="R153" s="36"/>
      <c r="S153" s="35"/>
    </row>
    <row r="154" spans="1:19" s="28" customFormat="1" ht="13.5">
      <c r="A154" s="33">
        <v>147</v>
      </c>
      <c r="B154" s="103" t="s">
        <v>626</v>
      </c>
      <c r="C154" s="23"/>
      <c r="D154" s="22"/>
      <c r="E154" s="99">
        <v>1100</v>
      </c>
      <c r="F154" s="412">
        <v>1100</v>
      </c>
      <c r="G154" s="608">
        <v>1100</v>
      </c>
      <c r="H154" s="405"/>
      <c r="I154" s="406">
        <v>1100</v>
      </c>
      <c r="J154" s="407"/>
      <c r="K154" s="428"/>
      <c r="L154" s="438">
        <v>1500</v>
      </c>
      <c r="M154" s="438">
        <v>1500</v>
      </c>
      <c r="N154" s="136">
        <f t="shared" si="3"/>
        <v>0</v>
      </c>
      <c r="O154" s="29"/>
      <c r="P154" s="38"/>
      <c r="Q154" s="37"/>
      <c r="R154" s="36"/>
      <c r="S154" s="35"/>
    </row>
    <row r="155" spans="1:19" s="28" customFormat="1" ht="13.5">
      <c r="A155" s="33">
        <v>148</v>
      </c>
      <c r="B155" s="103" t="s">
        <v>627</v>
      </c>
      <c r="C155" s="23"/>
      <c r="D155" s="22"/>
      <c r="E155" s="99">
        <v>0</v>
      </c>
      <c r="F155" s="412">
        <v>0</v>
      </c>
      <c r="G155" s="453">
        <v>0</v>
      </c>
      <c r="H155" s="405"/>
      <c r="I155" s="406">
        <v>0</v>
      </c>
      <c r="J155" s="407"/>
      <c r="K155" s="428"/>
      <c r="L155" s="438">
        <v>0</v>
      </c>
      <c r="M155" s="438"/>
      <c r="N155" s="136">
        <f t="shared" si="3"/>
        <v>0</v>
      </c>
      <c r="O155" s="29"/>
      <c r="P155" s="38"/>
      <c r="Q155" s="37"/>
      <c r="R155" s="36"/>
      <c r="S155" s="35"/>
    </row>
    <row r="156" spans="1:19" s="28" customFormat="1" ht="13.5">
      <c r="A156" s="33">
        <v>149</v>
      </c>
      <c r="B156" s="103" t="s">
        <v>840</v>
      </c>
      <c r="C156" s="23"/>
      <c r="D156" s="22"/>
      <c r="E156" s="99">
        <v>0</v>
      </c>
      <c r="F156" s="412">
        <v>0</v>
      </c>
      <c r="G156" s="453">
        <v>0</v>
      </c>
      <c r="H156" s="405"/>
      <c r="I156" s="406">
        <v>0</v>
      </c>
      <c r="J156" s="407"/>
      <c r="K156" s="428"/>
      <c r="L156" s="438">
        <v>0</v>
      </c>
      <c r="M156" s="438"/>
      <c r="N156" s="136">
        <f t="shared" si="3"/>
        <v>0</v>
      </c>
      <c r="O156" s="29"/>
      <c r="P156" s="38"/>
      <c r="Q156" s="37"/>
      <c r="R156" s="36"/>
      <c r="S156" s="35"/>
    </row>
    <row r="157" spans="1:19" s="28" customFormat="1" ht="13.5">
      <c r="A157" s="33">
        <v>150</v>
      </c>
      <c r="B157" s="103" t="s">
        <v>628</v>
      </c>
      <c r="C157" s="23"/>
      <c r="D157" s="22"/>
      <c r="E157" s="99">
        <v>3000</v>
      </c>
      <c r="F157" s="412">
        <v>1000</v>
      </c>
      <c r="G157" s="453">
        <v>3000</v>
      </c>
      <c r="H157" s="405"/>
      <c r="I157" s="406">
        <v>3000</v>
      </c>
      <c r="J157" s="407"/>
      <c r="K157" s="428"/>
      <c r="L157" s="438">
        <v>2000</v>
      </c>
      <c r="M157" s="438">
        <v>2000</v>
      </c>
      <c r="N157" s="136">
        <f t="shared" si="3"/>
        <v>0</v>
      </c>
      <c r="O157" s="29"/>
      <c r="P157" s="38"/>
      <c r="Q157" s="37"/>
      <c r="R157" s="36"/>
      <c r="S157" s="35"/>
    </row>
    <row r="158" spans="1:19" s="28" customFormat="1" ht="13.5">
      <c r="A158" s="33">
        <v>151</v>
      </c>
      <c r="B158" s="462" t="s">
        <v>629</v>
      </c>
      <c r="C158" s="23"/>
      <c r="D158" s="22"/>
      <c r="E158" s="99">
        <v>1275</v>
      </c>
      <c r="F158" s="412">
        <v>0</v>
      </c>
      <c r="G158" s="453">
        <v>1275</v>
      </c>
      <c r="H158" s="405"/>
      <c r="I158" s="406">
        <v>1275</v>
      </c>
      <c r="J158" s="407"/>
      <c r="K158" s="428"/>
      <c r="L158" s="438">
        <v>21275</v>
      </c>
      <c r="M158" s="438"/>
      <c r="N158" s="136">
        <f t="shared" si="3"/>
        <v>21275</v>
      </c>
      <c r="O158" s="29"/>
      <c r="P158" s="38"/>
      <c r="Q158" s="37"/>
      <c r="R158" s="36"/>
      <c r="S158" s="35"/>
    </row>
    <row r="159" spans="1:19" s="28" customFormat="1" ht="13.5">
      <c r="A159" s="33" t="s">
        <v>175</v>
      </c>
      <c r="B159" s="566" t="s">
        <v>832</v>
      </c>
      <c r="C159" s="410"/>
      <c r="D159" s="22" t="s">
        <v>34</v>
      </c>
      <c r="E159" s="111">
        <v>218461</v>
      </c>
      <c r="F159" s="412">
        <v>155421</v>
      </c>
      <c r="G159" s="451"/>
      <c r="H159" s="405"/>
      <c r="I159" s="406">
        <v>249001</v>
      </c>
      <c r="J159" s="560"/>
      <c r="K159" s="428"/>
      <c r="L159" s="438">
        <v>273499</v>
      </c>
      <c r="M159" s="438">
        <f>'GV'!C8</f>
        <v>284086</v>
      </c>
      <c r="N159" s="136">
        <f t="shared" si="3"/>
        <v>-10587</v>
      </c>
      <c r="O159" s="24"/>
      <c r="P159" s="38"/>
      <c r="Q159" s="37"/>
      <c r="R159" s="36"/>
      <c r="S159" s="35"/>
    </row>
    <row r="160" spans="1:19" s="28" customFormat="1" ht="13.5">
      <c r="A160" s="33" t="s">
        <v>174</v>
      </c>
      <c r="B160" s="566" t="s">
        <v>833</v>
      </c>
      <c r="C160" s="410"/>
      <c r="D160" s="22" t="s">
        <v>34</v>
      </c>
      <c r="E160" s="111">
        <v>179690</v>
      </c>
      <c r="F160" s="412">
        <v>177701</v>
      </c>
      <c r="G160" s="453"/>
      <c r="H160" s="405"/>
      <c r="I160" s="406">
        <v>217903</v>
      </c>
      <c r="J160" s="407"/>
      <c r="K160" s="428"/>
      <c r="L160" s="438">
        <v>281955</v>
      </c>
      <c r="M160" s="438">
        <f>'GV'!C16</f>
        <v>276905</v>
      </c>
      <c r="N160" s="136">
        <f t="shared" si="3"/>
        <v>5050</v>
      </c>
      <c r="O160" s="24"/>
      <c r="P160" s="38"/>
      <c r="Q160" s="37"/>
      <c r="R160" s="36"/>
      <c r="S160" s="35"/>
    </row>
    <row r="161" spans="1:19" s="28" customFormat="1" ht="13.5">
      <c r="A161" s="33" t="s">
        <v>173</v>
      </c>
      <c r="B161" s="566" t="s">
        <v>834</v>
      </c>
      <c r="C161" s="410"/>
      <c r="D161" s="22" t="s">
        <v>34</v>
      </c>
      <c r="E161" s="111">
        <v>180507</v>
      </c>
      <c r="F161" s="412">
        <v>174255</v>
      </c>
      <c r="G161" s="451"/>
      <c r="H161" s="405"/>
      <c r="I161" s="406">
        <v>201715</v>
      </c>
      <c r="J161" s="407"/>
      <c r="K161" s="428"/>
      <c r="L161" s="438">
        <v>211174</v>
      </c>
      <c r="M161" s="438">
        <f>'GV'!C24</f>
        <v>273508</v>
      </c>
      <c r="N161" s="136">
        <f aca="true" t="shared" si="4" ref="N161:N219">SUM(L161-M161)</f>
        <v>-62334</v>
      </c>
      <c r="O161" s="24"/>
      <c r="P161" s="38"/>
      <c r="Q161" s="37"/>
      <c r="R161" s="36"/>
      <c r="S161" s="35"/>
    </row>
    <row r="162" spans="1:19" s="28" customFormat="1" ht="13.5">
      <c r="A162" s="33" t="s">
        <v>172</v>
      </c>
      <c r="B162" s="119" t="s">
        <v>835</v>
      </c>
      <c r="C162" s="23"/>
      <c r="D162" s="22" t="s">
        <v>34</v>
      </c>
      <c r="E162" s="111">
        <v>200908</v>
      </c>
      <c r="F162" s="412">
        <v>195698</v>
      </c>
      <c r="G162" s="451"/>
      <c r="H162" s="405"/>
      <c r="I162" s="406">
        <v>260344</v>
      </c>
      <c r="J162" s="407"/>
      <c r="K162" s="428"/>
      <c r="L162" s="438">
        <v>256669</v>
      </c>
      <c r="M162" s="438">
        <f>'GV'!C31</f>
        <v>209956</v>
      </c>
      <c r="N162" s="136">
        <f t="shared" si="4"/>
        <v>46713</v>
      </c>
      <c r="O162" s="121"/>
      <c r="P162" s="38"/>
      <c r="Q162" s="37"/>
      <c r="R162" s="36"/>
      <c r="S162" s="35"/>
    </row>
    <row r="163" spans="1:19" s="28" customFormat="1" ht="13.5">
      <c r="A163" s="33" t="s">
        <v>171</v>
      </c>
      <c r="B163" s="103" t="s">
        <v>836</v>
      </c>
      <c r="C163" s="23"/>
      <c r="D163" s="22" t="s">
        <v>34</v>
      </c>
      <c r="E163" s="99">
        <v>203254</v>
      </c>
      <c r="F163" s="412">
        <v>197194</v>
      </c>
      <c r="G163" s="451">
        <v>214012</v>
      </c>
      <c r="H163" s="405"/>
      <c r="I163" s="406">
        <v>268573</v>
      </c>
      <c r="J163" s="407"/>
      <c r="K163" s="428"/>
      <c r="L163" s="438">
        <v>265838</v>
      </c>
      <c r="M163" s="438">
        <f>'GV'!C39</f>
        <v>280877</v>
      </c>
      <c r="N163" s="136">
        <f t="shared" si="4"/>
        <v>-15039</v>
      </c>
      <c r="O163" s="29"/>
      <c r="P163" s="38"/>
      <c r="Q163" s="37"/>
      <c r="R163" s="36"/>
      <c r="S163" s="35"/>
    </row>
    <row r="164" spans="1:19" s="28" customFormat="1" ht="13.5">
      <c r="A164" s="33" t="s">
        <v>170</v>
      </c>
      <c r="B164" s="103" t="s">
        <v>837</v>
      </c>
      <c r="C164" s="23"/>
      <c r="D164" s="22" t="s">
        <v>34</v>
      </c>
      <c r="E164" s="99">
        <v>196867</v>
      </c>
      <c r="F164" s="412">
        <v>301652</v>
      </c>
      <c r="G164" s="451">
        <v>170867</v>
      </c>
      <c r="H164" s="405"/>
      <c r="I164" s="406">
        <v>160353</v>
      </c>
      <c r="J164" s="407"/>
      <c r="K164" s="428"/>
      <c r="L164" s="438">
        <v>267037</v>
      </c>
      <c r="M164" s="438">
        <f>'GV'!C47</f>
        <v>289488</v>
      </c>
      <c r="N164" s="136">
        <f t="shared" si="4"/>
        <v>-22451</v>
      </c>
      <c r="O164" s="29"/>
      <c r="P164" s="38"/>
      <c r="Q164" s="37"/>
      <c r="R164" s="36"/>
      <c r="S164" s="35"/>
    </row>
    <row r="165" spans="1:19" s="28" customFormat="1" ht="13.5">
      <c r="A165" s="33" t="s">
        <v>139</v>
      </c>
      <c r="B165" s="103" t="s">
        <v>838</v>
      </c>
      <c r="C165" s="23"/>
      <c r="D165" s="22" t="s">
        <v>34</v>
      </c>
      <c r="E165" s="99">
        <v>252183</v>
      </c>
      <c r="F165" s="412">
        <v>240029</v>
      </c>
      <c r="G165" s="451">
        <v>234110</v>
      </c>
      <c r="H165" s="405"/>
      <c r="I165" s="406">
        <v>170930.56</v>
      </c>
      <c r="J165" s="407"/>
      <c r="K165" s="428"/>
      <c r="L165" s="438"/>
      <c r="M165" s="438"/>
      <c r="N165" s="136">
        <f t="shared" si="4"/>
        <v>0</v>
      </c>
      <c r="O165" s="29"/>
      <c r="P165" s="38"/>
      <c r="Q165" s="37"/>
      <c r="R165" s="36"/>
      <c r="S165" s="35"/>
    </row>
    <row r="166" spans="1:19" s="28" customFormat="1" ht="13.5">
      <c r="A166" s="33" t="s">
        <v>138</v>
      </c>
      <c r="B166" s="103" t="s">
        <v>839</v>
      </c>
      <c r="C166" s="23"/>
      <c r="D166" s="22" t="s">
        <v>34</v>
      </c>
      <c r="E166" s="99">
        <v>212772</v>
      </c>
      <c r="F166" s="412">
        <v>202681</v>
      </c>
      <c r="G166" s="451">
        <v>226463</v>
      </c>
      <c r="H166" s="405"/>
      <c r="I166" s="406">
        <v>248509.13</v>
      </c>
      <c r="J166" s="407"/>
      <c r="K166" s="428"/>
      <c r="L166" s="438"/>
      <c r="M166" s="438"/>
      <c r="N166" s="136">
        <f t="shared" si="4"/>
        <v>0</v>
      </c>
      <c r="O166" s="29"/>
      <c r="P166" s="38"/>
      <c r="Q166" s="37"/>
      <c r="R166" s="36"/>
      <c r="S166" s="35"/>
    </row>
    <row r="167" spans="1:19" s="28" customFormat="1" ht="13.5">
      <c r="A167" s="33" t="s">
        <v>169</v>
      </c>
      <c r="B167" s="103" t="s">
        <v>841</v>
      </c>
      <c r="C167" s="23"/>
      <c r="D167" s="22" t="s">
        <v>34</v>
      </c>
      <c r="E167" s="99">
        <v>378627</v>
      </c>
      <c r="F167" s="412">
        <v>312122</v>
      </c>
      <c r="G167" s="451">
        <v>303018</v>
      </c>
      <c r="H167" s="405"/>
      <c r="I167" s="406">
        <v>353384</v>
      </c>
      <c r="J167" s="407"/>
      <c r="K167" s="428"/>
      <c r="L167" s="438">
        <v>365340</v>
      </c>
      <c r="M167" s="438">
        <f>'GV'!C59</f>
        <v>434454</v>
      </c>
      <c r="N167" s="136">
        <f t="shared" si="4"/>
        <v>-69114</v>
      </c>
      <c r="O167" s="29"/>
      <c r="P167" s="38"/>
      <c r="Q167" s="37"/>
      <c r="R167" s="36"/>
      <c r="S167" s="35"/>
    </row>
    <row r="168" spans="1:19" s="28" customFormat="1" ht="13.5" hidden="1">
      <c r="A168" s="33" t="s">
        <v>168</v>
      </c>
      <c r="B168" s="119" t="s">
        <v>714</v>
      </c>
      <c r="C168" s="23"/>
      <c r="D168" s="22" t="s">
        <v>34</v>
      </c>
      <c r="E168" s="111">
        <v>73230</v>
      </c>
      <c r="F168" s="412">
        <v>0</v>
      </c>
      <c r="G168" s="451"/>
      <c r="H168" s="405"/>
      <c r="I168" s="406"/>
      <c r="J168" s="407"/>
      <c r="K168" s="428"/>
      <c r="L168" s="439"/>
      <c r="M168" s="439"/>
      <c r="N168" s="136">
        <f t="shared" si="4"/>
        <v>0</v>
      </c>
      <c r="O168" s="24"/>
      <c r="P168" s="38"/>
      <c r="Q168" s="37"/>
      <c r="R168" s="36"/>
      <c r="S168" s="35"/>
    </row>
    <row r="169" spans="1:19" s="28" customFormat="1" ht="13.5">
      <c r="A169" s="33" t="s">
        <v>167</v>
      </c>
      <c r="B169" s="103" t="s">
        <v>842</v>
      </c>
      <c r="C169" s="23"/>
      <c r="D169" s="22" t="s">
        <v>34</v>
      </c>
      <c r="E169" s="99">
        <v>67469</v>
      </c>
      <c r="F169" s="412">
        <v>0</v>
      </c>
      <c r="G169" s="451">
        <v>71057.64</v>
      </c>
      <c r="H169" s="405"/>
      <c r="I169" s="406">
        <v>159599</v>
      </c>
      <c r="J169" s="407"/>
      <c r="K169" s="428"/>
      <c r="L169" s="438">
        <v>158986</v>
      </c>
      <c r="M169" s="438">
        <f>OTHER!C10</f>
        <v>162166</v>
      </c>
      <c r="N169" s="136">
        <f t="shared" si="4"/>
        <v>-3180</v>
      </c>
      <c r="O169" s="24"/>
      <c r="P169" s="38"/>
      <c r="Q169" s="37"/>
      <c r="R169" s="36"/>
      <c r="S169" s="35"/>
    </row>
    <row r="170" spans="1:19" s="28" customFormat="1" ht="13.5">
      <c r="A170" s="33">
        <v>153</v>
      </c>
      <c r="B170" s="103" t="s">
        <v>843</v>
      </c>
      <c r="C170" s="23"/>
      <c r="D170" s="22" t="s">
        <v>34</v>
      </c>
      <c r="E170" s="99">
        <v>2500</v>
      </c>
      <c r="F170" s="412">
        <v>0</v>
      </c>
      <c r="G170" s="453">
        <v>0</v>
      </c>
      <c r="H170" s="405"/>
      <c r="I170" s="406">
        <v>2575</v>
      </c>
      <c r="J170" s="407"/>
      <c r="K170" s="428"/>
      <c r="L170" s="438">
        <v>15142</v>
      </c>
      <c r="M170" s="438">
        <v>15445</v>
      </c>
      <c r="N170" s="136">
        <f t="shared" si="4"/>
        <v>-303</v>
      </c>
      <c r="O170" s="121"/>
      <c r="P170" s="38"/>
      <c r="Q170" s="37"/>
      <c r="R170" s="36"/>
      <c r="S170" s="35"/>
    </row>
    <row r="171" spans="1:19" s="28" customFormat="1" ht="13.5">
      <c r="A171" s="33" t="s">
        <v>166</v>
      </c>
      <c r="B171" s="103" t="s">
        <v>630</v>
      </c>
      <c r="C171" s="23"/>
      <c r="D171" s="22"/>
      <c r="E171" s="107">
        <v>0</v>
      </c>
      <c r="F171" s="414">
        <v>0</v>
      </c>
      <c r="G171" s="454">
        <v>0</v>
      </c>
      <c r="H171" s="403"/>
      <c r="I171" s="406">
        <v>0</v>
      </c>
      <c r="J171" s="407"/>
      <c r="K171" s="428"/>
      <c r="L171" s="440">
        <v>0</v>
      </c>
      <c r="M171" s="440"/>
      <c r="N171" s="136">
        <f t="shared" si="4"/>
        <v>0</v>
      </c>
      <c r="O171" s="29"/>
      <c r="P171" s="38"/>
      <c r="Q171" s="37"/>
      <c r="R171" s="36"/>
      <c r="S171" s="35"/>
    </row>
    <row r="172" spans="1:19" s="28" customFormat="1" ht="13.5">
      <c r="A172" s="33" t="s">
        <v>165</v>
      </c>
      <c r="B172" s="103" t="s">
        <v>631</v>
      </c>
      <c r="C172" s="23"/>
      <c r="D172" s="22"/>
      <c r="E172" s="107">
        <v>0</v>
      </c>
      <c r="F172" s="414">
        <v>0</v>
      </c>
      <c r="G172" s="454">
        <v>0</v>
      </c>
      <c r="H172" s="403"/>
      <c r="I172" s="406">
        <v>0</v>
      </c>
      <c r="J172" s="407"/>
      <c r="K172" s="428"/>
      <c r="L172" s="440">
        <v>0</v>
      </c>
      <c r="M172" s="440"/>
      <c r="N172" s="136">
        <f t="shared" si="4"/>
        <v>0</v>
      </c>
      <c r="O172" s="29"/>
      <c r="P172" s="38"/>
      <c r="Q172" s="37"/>
      <c r="R172" s="36"/>
      <c r="S172" s="35"/>
    </row>
    <row r="173" spans="1:19" s="28" customFormat="1" ht="13.5">
      <c r="A173" s="33" t="s">
        <v>164</v>
      </c>
      <c r="B173" s="103" t="s">
        <v>632</v>
      </c>
      <c r="C173" s="23"/>
      <c r="D173" s="22"/>
      <c r="E173" s="107">
        <v>0</v>
      </c>
      <c r="F173" s="414">
        <v>0</v>
      </c>
      <c r="G173" s="454">
        <v>0</v>
      </c>
      <c r="H173" s="403"/>
      <c r="I173" s="406">
        <v>0</v>
      </c>
      <c r="J173" s="407"/>
      <c r="K173" s="428"/>
      <c r="L173" s="440">
        <v>0</v>
      </c>
      <c r="M173" s="440"/>
      <c r="N173" s="136">
        <f t="shared" si="4"/>
        <v>0</v>
      </c>
      <c r="O173" s="47"/>
      <c r="P173" s="38"/>
      <c r="Q173" s="37"/>
      <c r="R173" s="36"/>
      <c r="S173" s="35"/>
    </row>
    <row r="174" spans="1:19" s="28" customFormat="1" ht="13.5">
      <c r="A174" s="33" t="s">
        <v>163</v>
      </c>
      <c r="B174" s="103" t="s">
        <v>633</v>
      </c>
      <c r="C174" s="23"/>
      <c r="D174" s="22"/>
      <c r="E174" s="99">
        <v>0</v>
      </c>
      <c r="F174" s="412">
        <v>0</v>
      </c>
      <c r="G174" s="451">
        <v>0</v>
      </c>
      <c r="H174" s="405"/>
      <c r="I174" s="406">
        <v>0</v>
      </c>
      <c r="J174" s="407"/>
      <c r="K174" s="428"/>
      <c r="L174" s="438">
        <v>0</v>
      </c>
      <c r="M174" s="438"/>
      <c r="N174" s="136">
        <f t="shared" si="4"/>
        <v>0</v>
      </c>
      <c r="O174" s="47"/>
      <c r="P174" s="38"/>
      <c r="Q174" s="37"/>
      <c r="R174" s="36"/>
      <c r="S174" s="35"/>
    </row>
    <row r="175" spans="1:19" s="28" customFormat="1" ht="13.5">
      <c r="A175" s="33" t="s">
        <v>162</v>
      </c>
      <c r="B175" s="103" t="s">
        <v>634</v>
      </c>
      <c r="C175" s="23"/>
      <c r="D175" s="22"/>
      <c r="E175" s="99">
        <v>0</v>
      </c>
      <c r="F175" s="412">
        <v>0</v>
      </c>
      <c r="G175" s="451">
        <v>0</v>
      </c>
      <c r="H175" s="405"/>
      <c r="I175" s="406">
        <v>0</v>
      </c>
      <c r="J175" s="407"/>
      <c r="K175" s="428"/>
      <c r="L175" s="438">
        <v>0</v>
      </c>
      <c r="M175" s="438"/>
      <c r="N175" s="136">
        <f t="shared" si="4"/>
        <v>0</v>
      </c>
      <c r="O175" s="47"/>
      <c r="P175" s="38"/>
      <c r="Q175" s="37"/>
      <c r="R175" s="36"/>
      <c r="S175" s="35"/>
    </row>
    <row r="176" spans="1:19" s="28" customFormat="1" ht="13.5">
      <c r="A176" s="33" t="s">
        <v>161</v>
      </c>
      <c r="B176" s="144" t="s">
        <v>635</v>
      </c>
      <c r="C176" s="23"/>
      <c r="D176" s="22"/>
      <c r="E176" s="99">
        <v>0</v>
      </c>
      <c r="F176" s="412">
        <v>0</v>
      </c>
      <c r="G176" s="451">
        <v>0</v>
      </c>
      <c r="H176" s="405"/>
      <c r="I176" s="406">
        <v>0</v>
      </c>
      <c r="J176" s="407"/>
      <c r="K176" s="428"/>
      <c r="L176" s="438">
        <v>0</v>
      </c>
      <c r="M176" s="438"/>
      <c r="N176" s="136">
        <f t="shared" si="4"/>
        <v>0</v>
      </c>
      <c r="O176" s="47"/>
      <c r="P176" s="38"/>
      <c r="Q176" s="37"/>
      <c r="R176" s="36"/>
      <c r="S176" s="35"/>
    </row>
    <row r="177" spans="1:19" s="28" customFormat="1" ht="13.5">
      <c r="A177" s="33" t="s">
        <v>160</v>
      </c>
      <c r="B177" s="144" t="s">
        <v>636</v>
      </c>
      <c r="C177" s="23"/>
      <c r="D177" s="22"/>
      <c r="E177" s="99">
        <v>15000</v>
      </c>
      <c r="F177" s="412">
        <v>26000</v>
      </c>
      <c r="G177" s="451">
        <v>0</v>
      </c>
      <c r="H177" s="405"/>
      <c r="I177" s="406">
        <v>0</v>
      </c>
      <c r="J177" s="407"/>
      <c r="K177" s="428"/>
      <c r="L177" s="438">
        <v>0</v>
      </c>
      <c r="M177" s="438"/>
      <c r="N177" s="136">
        <f t="shared" si="4"/>
        <v>0</v>
      </c>
      <c r="O177" s="24"/>
      <c r="P177" s="38"/>
      <c r="Q177" s="37"/>
      <c r="R177" s="36"/>
      <c r="S177" s="35"/>
    </row>
    <row r="178" spans="1:19" s="28" customFormat="1" ht="13.5">
      <c r="A178" s="33" t="s">
        <v>159</v>
      </c>
      <c r="B178" s="144" t="s">
        <v>637</v>
      </c>
      <c r="C178" s="23"/>
      <c r="D178" s="22"/>
      <c r="E178" s="99">
        <v>5000</v>
      </c>
      <c r="F178" s="45"/>
      <c r="G178" s="567">
        <v>0</v>
      </c>
      <c r="H178" s="45"/>
      <c r="I178" s="406">
        <v>0</v>
      </c>
      <c r="J178" s="407"/>
      <c r="K178" s="428"/>
      <c r="L178" s="438"/>
      <c r="M178" s="438"/>
      <c r="N178" s="136">
        <f t="shared" si="4"/>
        <v>0</v>
      </c>
      <c r="O178" s="47"/>
      <c r="P178" s="38"/>
      <c r="Q178" s="37"/>
      <c r="R178" s="36"/>
      <c r="S178" s="35"/>
    </row>
    <row r="179" spans="1:19" s="28" customFormat="1" ht="13.5">
      <c r="A179" s="33" t="s">
        <v>158</v>
      </c>
      <c r="B179" s="144" t="s">
        <v>638</v>
      </c>
      <c r="C179" s="23"/>
      <c r="D179" s="22"/>
      <c r="E179" s="99">
        <v>0</v>
      </c>
      <c r="F179" s="412">
        <v>0</v>
      </c>
      <c r="G179" s="451">
        <v>0</v>
      </c>
      <c r="H179" s="405"/>
      <c r="I179" s="406">
        <v>0</v>
      </c>
      <c r="J179" s="407"/>
      <c r="K179" s="428"/>
      <c r="L179" s="438">
        <v>0</v>
      </c>
      <c r="M179" s="438"/>
      <c r="N179" s="136">
        <f t="shared" si="4"/>
        <v>0</v>
      </c>
      <c r="O179" s="47"/>
      <c r="P179" s="38"/>
      <c r="Q179" s="37"/>
      <c r="R179" s="36"/>
      <c r="S179" s="35"/>
    </row>
    <row r="180" spans="1:19" s="80" customFormat="1" ht="13.5">
      <c r="A180" s="33" t="s">
        <v>157</v>
      </c>
      <c r="B180" s="144" t="s">
        <v>639</v>
      </c>
      <c r="C180" s="23"/>
      <c r="D180" s="22"/>
      <c r="E180" s="99">
        <v>0</v>
      </c>
      <c r="F180" s="412">
        <v>0</v>
      </c>
      <c r="G180" s="451">
        <v>0</v>
      </c>
      <c r="H180" s="405"/>
      <c r="I180" s="406">
        <v>0</v>
      </c>
      <c r="J180" s="407"/>
      <c r="K180" s="428"/>
      <c r="L180" s="438">
        <v>0</v>
      </c>
      <c r="M180" s="438"/>
      <c r="N180" s="136">
        <f t="shared" si="4"/>
        <v>0</v>
      </c>
      <c r="O180" s="47"/>
      <c r="P180" s="83"/>
      <c r="Q180" s="82"/>
      <c r="R180" s="82"/>
      <c r="S180" s="81"/>
    </row>
    <row r="181" spans="1:19" s="28" customFormat="1" ht="13.5">
      <c r="A181" s="33">
        <v>157</v>
      </c>
      <c r="B181" s="144" t="s">
        <v>640</v>
      </c>
      <c r="C181" s="23"/>
      <c r="D181" s="22"/>
      <c r="E181" s="99">
        <v>17000</v>
      </c>
      <c r="F181" s="412">
        <v>0</v>
      </c>
      <c r="G181" s="451">
        <v>15000</v>
      </c>
      <c r="H181" s="405"/>
      <c r="I181" s="406">
        <v>18500</v>
      </c>
      <c r="J181" s="407"/>
      <c r="K181" s="428"/>
      <c r="L181" s="438">
        <v>20688</v>
      </c>
      <c r="M181" s="438">
        <v>17688</v>
      </c>
      <c r="N181" s="136">
        <f t="shared" si="4"/>
        <v>3000</v>
      </c>
      <c r="O181" s="47"/>
      <c r="P181" s="38"/>
      <c r="Q181" s="37"/>
      <c r="R181" s="36"/>
      <c r="S181" s="35"/>
    </row>
    <row r="182" spans="1:19" s="28" customFormat="1" ht="13.5" hidden="1">
      <c r="A182" s="33">
        <v>158</v>
      </c>
      <c r="B182" s="144"/>
      <c r="C182" s="23"/>
      <c r="D182" s="22"/>
      <c r="E182" s="99">
        <v>0</v>
      </c>
      <c r="F182" s="412">
        <v>16000</v>
      </c>
      <c r="G182" s="451">
        <v>0</v>
      </c>
      <c r="H182" s="405"/>
      <c r="I182" s="406">
        <v>0</v>
      </c>
      <c r="J182" s="407"/>
      <c r="K182" s="428"/>
      <c r="L182" s="438">
        <v>0</v>
      </c>
      <c r="M182" s="438">
        <v>0</v>
      </c>
      <c r="N182" s="136">
        <f t="shared" si="4"/>
        <v>0</v>
      </c>
      <c r="O182" s="47"/>
      <c r="P182" s="38"/>
      <c r="Q182" s="37"/>
      <c r="R182" s="36"/>
      <c r="S182" s="35"/>
    </row>
    <row r="183" spans="1:19" s="28" customFormat="1" ht="13.5" hidden="1">
      <c r="A183" s="33">
        <v>159</v>
      </c>
      <c r="B183" s="144"/>
      <c r="C183" s="23"/>
      <c r="D183" s="22"/>
      <c r="E183" s="99">
        <v>0</v>
      </c>
      <c r="F183" s="412">
        <v>0</v>
      </c>
      <c r="G183" s="451">
        <v>0</v>
      </c>
      <c r="H183" s="405"/>
      <c r="I183" s="406">
        <v>0</v>
      </c>
      <c r="J183" s="407"/>
      <c r="K183" s="428"/>
      <c r="L183" s="438">
        <v>0</v>
      </c>
      <c r="M183" s="438">
        <v>0</v>
      </c>
      <c r="N183" s="136">
        <f t="shared" si="4"/>
        <v>0</v>
      </c>
      <c r="O183" s="47"/>
      <c r="P183" s="38"/>
      <c r="Q183" s="37"/>
      <c r="R183" s="36"/>
      <c r="S183" s="35"/>
    </row>
    <row r="184" spans="1:19" s="28" customFormat="1" ht="13.5">
      <c r="A184" s="33">
        <v>160</v>
      </c>
      <c r="B184" s="144" t="s">
        <v>641</v>
      </c>
      <c r="C184" s="23"/>
      <c r="D184" s="22"/>
      <c r="E184" s="99">
        <v>900</v>
      </c>
      <c r="F184" s="412">
        <v>900</v>
      </c>
      <c r="G184" s="451">
        <v>900</v>
      </c>
      <c r="H184" s="405"/>
      <c r="I184" s="406">
        <v>1600</v>
      </c>
      <c r="J184" s="407"/>
      <c r="K184" s="428"/>
      <c r="L184" s="438">
        <v>500</v>
      </c>
      <c r="M184" s="438"/>
      <c r="N184" s="136">
        <f t="shared" si="4"/>
        <v>500</v>
      </c>
      <c r="O184" s="19"/>
      <c r="P184" s="38"/>
      <c r="Q184" s="37"/>
      <c r="R184" s="36"/>
      <c r="S184" s="35"/>
    </row>
    <row r="185" spans="1:19" s="28" customFormat="1" ht="13.5">
      <c r="A185" s="33">
        <v>161</v>
      </c>
      <c r="B185" s="144" t="s">
        <v>642</v>
      </c>
      <c r="C185" s="23"/>
      <c r="D185" s="22"/>
      <c r="E185" s="99">
        <v>750</v>
      </c>
      <c r="F185" s="412">
        <v>0</v>
      </c>
      <c r="G185" s="451">
        <v>750</v>
      </c>
      <c r="H185" s="405"/>
      <c r="I185" s="406">
        <v>750</v>
      </c>
      <c r="J185" s="407"/>
      <c r="K185" s="428"/>
      <c r="L185" s="438">
        <v>500</v>
      </c>
      <c r="M185" s="438"/>
      <c r="N185" s="136">
        <f t="shared" si="4"/>
        <v>500</v>
      </c>
      <c r="O185" s="19"/>
      <c r="P185" s="38"/>
      <c r="Q185" s="37"/>
      <c r="R185" s="36"/>
      <c r="S185" s="35"/>
    </row>
    <row r="186" spans="1:19" s="28" customFormat="1" ht="13.5">
      <c r="A186" s="33">
        <v>162</v>
      </c>
      <c r="B186" s="144" t="s">
        <v>643</v>
      </c>
      <c r="C186" s="23"/>
      <c r="D186" s="22"/>
      <c r="E186" s="99">
        <v>600</v>
      </c>
      <c r="F186" s="412">
        <v>600</v>
      </c>
      <c r="G186" s="451">
        <v>600</v>
      </c>
      <c r="H186" s="405"/>
      <c r="I186" s="406">
        <v>1400</v>
      </c>
      <c r="J186" s="407"/>
      <c r="K186" s="428"/>
      <c r="L186" s="438">
        <v>500</v>
      </c>
      <c r="M186" s="438"/>
      <c r="N186" s="136">
        <f t="shared" si="4"/>
        <v>500</v>
      </c>
      <c r="O186" s="19"/>
      <c r="P186" s="38"/>
      <c r="Q186" s="37"/>
      <c r="R186" s="36"/>
      <c r="S186" s="35"/>
    </row>
    <row r="187" spans="1:19" s="28" customFormat="1" ht="13.5">
      <c r="A187" s="33">
        <v>164</v>
      </c>
      <c r="B187" s="119" t="s">
        <v>644</v>
      </c>
      <c r="C187" s="23"/>
      <c r="D187" s="22" t="s">
        <v>34</v>
      </c>
      <c r="E187" s="99">
        <v>59912.01</v>
      </c>
      <c r="F187" s="412">
        <v>59621.174999999996</v>
      </c>
      <c r="G187" s="451">
        <v>73048.28</v>
      </c>
      <c r="H187" s="405"/>
      <c r="I187" s="406">
        <v>70353</v>
      </c>
      <c r="J187" s="560"/>
      <c r="K187" s="428"/>
      <c r="L187" s="438">
        <v>66580</v>
      </c>
      <c r="M187" s="438">
        <f>'GV'!C92</f>
        <v>68450</v>
      </c>
      <c r="N187" s="136">
        <f t="shared" si="4"/>
        <v>-1870</v>
      </c>
      <c r="O187" s="19"/>
      <c r="P187" s="38"/>
      <c r="Q187" s="37"/>
      <c r="R187" s="36"/>
      <c r="S187" s="35"/>
    </row>
    <row r="188" spans="1:19" s="28" customFormat="1" ht="13.5">
      <c r="A188" s="33" t="s">
        <v>556</v>
      </c>
      <c r="B188" s="144" t="s">
        <v>115</v>
      </c>
      <c r="C188" s="23"/>
      <c r="D188" s="22" t="s">
        <v>34</v>
      </c>
      <c r="E188" s="99">
        <v>0</v>
      </c>
      <c r="F188" s="45"/>
      <c r="G188" s="567">
        <v>0</v>
      </c>
      <c r="H188" s="45"/>
      <c r="I188" s="406">
        <v>0</v>
      </c>
      <c r="J188" s="407"/>
      <c r="K188" s="428"/>
      <c r="L188" s="438">
        <v>0</v>
      </c>
      <c r="M188" s="438"/>
      <c r="N188" s="136">
        <f t="shared" si="4"/>
        <v>0</v>
      </c>
      <c r="O188" s="19"/>
      <c r="P188" s="38"/>
      <c r="Q188" s="37"/>
      <c r="R188" s="36"/>
      <c r="S188" s="35"/>
    </row>
    <row r="189" spans="1:19" s="28" customFormat="1" ht="13.5">
      <c r="A189" s="33" t="s">
        <v>557</v>
      </c>
      <c r="B189" s="144" t="s">
        <v>156</v>
      </c>
      <c r="C189" s="23"/>
      <c r="D189" s="22"/>
      <c r="E189" s="99">
        <v>0</v>
      </c>
      <c r="F189" s="412">
        <v>0</v>
      </c>
      <c r="G189" s="451">
        <v>0</v>
      </c>
      <c r="H189" s="405"/>
      <c r="I189" s="406">
        <v>0</v>
      </c>
      <c r="J189" s="407"/>
      <c r="K189" s="428"/>
      <c r="L189" s="438">
        <v>0</v>
      </c>
      <c r="M189" s="438"/>
      <c r="N189" s="136">
        <f t="shared" si="4"/>
        <v>0</v>
      </c>
      <c r="O189" s="19"/>
      <c r="P189" s="38"/>
      <c r="Q189" s="37"/>
      <c r="R189" s="36"/>
      <c r="S189" s="35"/>
    </row>
    <row r="190" spans="1:19" s="28" customFormat="1" ht="13.5">
      <c r="A190" s="33">
        <v>165</v>
      </c>
      <c r="B190" s="144" t="s">
        <v>114</v>
      </c>
      <c r="C190" s="23"/>
      <c r="D190" s="22"/>
      <c r="E190" s="99">
        <v>0</v>
      </c>
      <c r="F190" s="412">
        <v>0</v>
      </c>
      <c r="G190" s="451">
        <v>0</v>
      </c>
      <c r="H190" s="405"/>
      <c r="I190" s="406">
        <v>0</v>
      </c>
      <c r="J190" s="407"/>
      <c r="K190" s="428"/>
      <c r="L190" s="438">
        <v>0</v>
      </c>
      <c r="M190" s="438"/>
      <c r="N190" s="136">
        <f t="shared" si="4"/>
        <v>0</v>
      </c>
      <c r="O190" s="19"/>
      <c r="P190" s="38"/>
      <c r="Q190" s="37"/>
      <c r="R190" s="36"/>
      <c r="S190" s="35"/>
    </row>
    <row r="191" spans="1:19" s="28" customFormat="1" ht="13.5" hidden="1">
      <c r="A191" s="33">
        <v>167</v>
      </c>
      <c r="B191" s="568"/>
      <c r="C191" s="23"/>
      <c r="D191" s="22"/>
      <c r="E191" s="99">
        <v>0</v>
      </c>
      <c r="F191" s="412">
        <v>0</v>
      </c>
      <c r="G191" s="451">
        <v>0</v>
      </c>
      <c r="H191" s="405"/>
      <c r="I191" s="406">
        <v>0</v>
      </c>
      <c r="J191" s="407"/>
      <c r="K191" s="428"/>
      <c r="L191" s="438">
        <v>0</v>
      </c>
      <c r="M191" s="438"/>
      <c r="N191" s="136">
        <f t="shared" si="4"/>
        <v>0</v>
      </c>
      <c r="O191" s="19"/>
      <c r="P191" s="38"/>
      <c r="Q191" s="37"/>
      <c r="R191" s="36"/>
      <c r="S191" s="35"/>
    </row>
    <row r="192" spans="1:19" s="28" customFormat="1" ht="13.5">
      <c r="A192" s="33">
        <v>168</v>
      </c>
      <c r="B192" s="144" t="s">
        <v>113</v>
      </c>
      <c r="C192" s="23"/>
      <c r="D192" s="22"/>
      <c r="E192" s="99">
        <v>22500</v>
      </c>
      <c r="F192" s="412">
        <v>20000</v>
      </c>
      <c r="G192" s="451">
        <v>20000</v>
      </c>
      <c r="H192" s="405"/>
      <c r="I192" s="406">
        <v>30000</v>
      </c>
      <c r="J192" s="407"/>
      <c r="K192" s="428"/>
      <c r="L192" s="438">
        <v>45000</v>
      </c>
      <c r="M192" s="438">
        <v>40000</v>
      </c>
      <c r="N192" s="136">
        <f t="shared" si="4"/>
        <v>5000</v>
      </c>
      <c r="O192" s="19"/>
      <c r="P192" s="38"/>
      <c r="Q192" s="37"/>
      <c r="R192" s="36"/>
      <c r="S192" s="35"/>
    </row>
    <row r="193" spans="1:19" s="28" customFormat="1" ht="13.5">
      <c r="A193" s="33">
        <v>169</v>
      </c>
      <c r="B193" s="568" t="s">
        <v>155</v>
      </c>
      <c r="C193" s="23"/>
      <c r="D193" s="22" t="s">
        <v>34</v>
      </c>
      <c r="E193" s="99">
        <v>49241.21</v>
      </c>
      <c r="F193" s="412">
        <v>47807</v>
      </c>
      <c r="G193" s="451">
        <v>26381.081</v>
      </c>
      <c r="H193" s="405"/>
      <c r="I193" s="406">
        <v>27172.51343</v>
      </c>
      <c r="J193" s="407"/>
      <c r="K193" s="428"/>
      <c r="L193" s="438"/>
      <c r="M193" s="438">
        <f>'GV'!C65</f>
        <v>0</v>
      </c>
      <c r="N193" s="136">
        <f t="shared" si="4"/>
        <v>0</v>
      </c>
      <c r="O193" s="24"/>
      <c r="P193" s="38"/>
      <c r="Q193" s="37"/>
      <c r="R193" s="36"/>
      <c r="S193" s="35"/>
    </row>
    <row r="194" spans="1:19" s="80" customFormat="1" ht="13.5">
      <c r="A194" s="33">
        <v>170</v>
      </c>
      <c r="B194" s="119" t="s">
        <v>645</v>
      </c>
      <c r="C194" s="23"/>
      <c r="D194" s="22" t="s">
        <v>34</v>
      </c>
      <c r="E194" s="99">
        <v>1500</v>
      </c>
      <c r="F194" s="412">
        <v>1500</v>
      </c>
      <c r="G194" s="451">
        <v>1545</v>
      </c>
      <c r="H194" s="405"/>
      <c r="I194" s="406">
        <v>63545</v>
      </c>
      <c r="J194" s="407"/>
      <c r="K194" s="428"/>
      <c r="L194" s="438">
        <v>74427</v>
      </c>
      <c r="M194" s="438">
        <f>'GV'!C70</f>
        <v>0</v>
      </c>
      <c r="N194" s="136">
        <f t="shared" si="4"/>
        <v>74427</v>
      </c>
      <c r="O194" s="24"/>
      <c r="P194" s="83"/>
      <c r="Q194" s="82"/>
      <c r="R194" s="82"/>
      <c r="S194" s="81"/>
    </row>
    <row r="195" spans="1:19" s="80" customFormat="1" ht="13.5">
      <c r="A195" s="33">
        <v>171</v>
      </c>
      <c r="B195" s="144" t="s">
        <v>112</v>
      </c>
      <c r="C195" s="23"/>
      <c r="D195" s="22"/>
      <c r="E195" s="99">
        <v>2000</v>
      </c>
      <c r="F195" s="412">
        <v>2000</v>
      </c>
      <c r="G195" s="451">
        <v>2000</v>
      </c>
      <c r="H195" s="405"/>
      <c r="I195" s="406">
        <v>2000</v>
      </c>
      <c r="J195" s="407"/>
      <c r="K195" s="428"/>
      <c r="L195" s="438">
        <v>2000</v>
      </c>
      <c r="M195" s="438">
        <v>0</v>
      </c>
      <c r="N195" s="136">
        <f t="shared" si="4"/>
        <v>2000</v>
      </c>
      <c r="O195" s="24"/>
      <c r="P195" s="83"/>
      <c r="Q195" s="82"/>
      <c r="R195" s="82"/>
      <c r="S195" s="81"/>
    </row>
    <row r="196" spans="1:19" s="80" customFormat="1" ht="13.5">
      <c r="A196" s="33">
        <v>173</v>
      </c>
      <c r="B196" s="144" t="s">
        <v>111</v>
      </c>
      <c r="C196" s="23"/>
      <c r="D196" s="22"/>
      <c r="E196" s="99">
        <v>0</v>
      </c>
      <c r="F196" s="412"/>
      <c r="G196" s="451">
        <v>0</v>
      </c>
      <c r="H196" s="405"/>
      <c r="I196" s="406">
        <v>0</v>
      </c>
      <c r="J196" s="407"/>
      <c r="K196" s="428"/>
      <c r="L196" s="438">
        <v>0</v>
      </c>
      <c r="M196" s="438"/>
      <c r="N196" s="136">
        <f t="shared" si="4"/>
        <v>0</v>
      </c>
      <c r="O196" s="24"/>
      <c r="P196" s="83"/>
      <c r="Q196" s="82"/>
      <c r="R196" s="82"/>
      <c r="S196" s="81"/>
    </row>
    <row r="197" spans="1:19" s="80" customFormat="1" ht="13.5">
      <c r="A197" s="33">
        <v>174</v>
      </c>
      <c r="B197" s="144" t="s">
        <v>154</v>
      </c>
      <c r="C197" s="23"/>
      <c r="D197" s="22" t="s">
        <v>34</v>
      </c>
      <c r="E197" s="99">
        <v>0</v>
      </c>
      <c r="F197" s="45"/>
      <c r="G197" s="567">
        <v>0</v>
      </c>
      <c r="H197" s="45"/>
      <c r="I197" s="406">
        <v>0</v>
      </c>
      <c r="J197" s="407"/>
      <c r="K197" s="428"/>
      <c r="L197" s="438">
        <v>0</v>
      </c>
      <c r="M197" s="438"/>
      <c r="N197" s="136">
        <f t="shared" si="4"/>
        <v>0</v>
      </c>
      <c r="O197" s="24"/>
      <c r="P197" s="83"/>
      <c r="Q197" s="82"/>
      <c r="R197" s="82"/>
      <c r="S197" s="81"/>
    </row>
    <row r="198" spans="1:19" s="80" customFormat="1" ht="13.5">
      <c r="A198" s="33">
        <v>175</v>
      </c>
      <c r="B198" s="119" t="s">
        <v>153</v>
      </c>
      <c r="C198" s="23"/>
      <c r="D198" s="22" t="s">
        <v>34</v>
      </c>
      <c r="E198" s="99">
        <v>140699</v>
      </c>
      <c r="F198" s="412">
        <v>137411</v>
      </c>
      <c r="G198" s="451">
        <v>110185</v>
      </c>
      <c r="H198" s="405"/>
      <c r="I198" s="406">
        <v>147614</v>
      </c>
      <c r="J198" s="407"/>
      <c r="K198" s="428"/>
      <c r="L198" s="438">
        <v>190043</v>
      </c>
      <c r="M198" s="438">
        <f>'GV'!C76</f>
        <v>221932</v>
      </c>
      <c r="N198" s="136">
        <f t="shared" si="4"/>
        <v>-31889</v>
      </c>
      <c r="O198" s="24"/>
      <c r="P198" s="83"/>
      <c r="Q198" s="82"/>
      <c r="R198" s="82"/>
      <c r="S198" s="81"/>
    </row>
    <row r="199" spans="1:19" s="80" customFormat="1" ht="13.5">
      <c r="A199" s="33" t="s">
        <v>152</v>
      </c>
      <c r="B199" s="144" t="s">
        <v>151</v>
      </c>
      <c r="C199" s="23"/>
      <c r="D199" s="22"/>
      <c r="E199" s="99">
        <v>3000</v>
      </c>
      <c r="F199" s="412">
        <v>0</v>
      </c>
      <c r="G199" s="451">
        <v>3000</v>
      </c>
      <c r="H199" s="405"/>
      <c r="I199" s="406">
        <v>3000</v>
      </c>
      <c r="J199" s="407"/>
      <c r="K199" s="428"/>
      <c r="L199" s="438">
        <v>3000</v>
      </c>
      <c r="M199" s="438">
        <v>3000</v>
      </c>
      <c r="N199" s="136">
        <f t="shared" si="4"/>
        <v>0</v>
      </c>
      <c r="O199" s="24"/>
      <c r="P199" s="83"/>
      <c r="Q199" s="82"/>
      <c r="R199" s="82"/>
      <c r="S199" s="81"/>
    </row>
    <row r="200" spans="1:19" s="28" customFormat="1" ht="13.5">
      <c r="A200" s="33">
        <v>176</v>
      </c>
      <c r="B200" s="144" t="s">
        <v>104</v>
      </c>
      <c r="C200" s="23"/>
      <c r="D200" s="22"/>
      <c r="E200" s="99">
        <v>2500</v>
      </c>
      <c r="F200" s="412">
        <v>0</v>
      </c>
      <c r="G200" s="451">
        <v>2500</v>
      </c>
      <c r="H200" s="405"/>
      <c r="I200" s="406">
        <v>2500</v>
      </c>
      <c r="J200" s="407"/>
      <c r="K200" s="428"/>
      <c r="L200" s="438">
        <v>3000</v>
      </c>
      <c r="M200" s="438">
        <v>2000</v>
      </c>
      <c r="N200" s="136">
        <f t="shared" si="4"/>
        <v>1000</v>
      </c>
      <c r="O200" s="24"/>
      <c r="P200" s="38"/>
      <c r="Q200" s="37"/>
      <c r="R200" s="36"/>
      <c r="S200" s="35"/>
    </row>
    <row r="201" spans="1:19" s="106" customFormat="1" ht="13.5" customHeight="1" hidden="1">
      <c r="A201" s="139">
        <v>174</v>
      </c>
      <c r="B201" s="569" t="s">
        <v>103</v>
      </c>
      <c r="C201" s="142"/>
      <c r="D201" s="141"/>
      <c r="E201" s="441">
        <v>0</v>
      </c>
      <c r="F201" s="570"/>
      <c r="G201" s="571">
        <v>0</v>
      </c>
      <c r="H201" s="533"/>
      <c r="I201" s="522">
        <v>0</v>
      </c>
      <c r="J201" s="572"/>
      <c r="K201" s="573"/>
      <c r="L201" s="441">
        <v>0</v>
      </c>
      <c r="M201" s="441"/>
      <c r="N201" s="136">
        <f t="shared" si="4"/>
        <v>0</v>
      </c>
      <c r="O201" s="140"/>
      <c r="P201" s="38"/>
      <c r="Q201" s="37"/>
      <c r="R201" s="36"/>
      <c r="S201" s="35"/>
    </row>
    <row r="202" spans="1:19" s="28" customFormat="1" ht="13.5" hidden="1">
      <c r="A202" s="139">
        <v>175</v>
      </c>
      <c r="B202" s="569"/>
      <c r="C202" s="142"/>
      <c r="D202" s="141"/>
      <c r="E202" s="442">
        <v>0</v>
      </c>
      <c r="F202" s="574">
        <v>3000</v>
      </c>
      <c r="G202" s="571">
        <v>0</v>
      </c>
      <c r="H202" s="533"/>
      <c r="I202" s="522">
        <v>0</v>
      </c>
      <c r="J202" s="572"/>
      <c r="K202" s="573"/>
      <c r="L202" s="442">
        <v>0</v>
      </c>
      <c r="M202" s="442"/>
      <c r="N202" s="136">
        <f t="shared" si="4"/>
        <v>0</v>
      </c>
      <c r="O202" s="140"/>
      <c r="P202" s="38"/>
      <c r="Q202" s="37"/>
      <c r="R202" s="36"/>
      <c r="S202" s="35"/>
    </row>
    <row r="203" spans="1:19" s="28" customFormat="1" ht="13.5" hidden="1">
      <c r="A203" s="139">
        <v>176</v>
      </c>
      <c r="B203" s="569"/>
      <c r="C203" s="142"/>
      <c r="D203" s="141"/>
      <c r="E203" s="443">
        <v>0</v>
      </c>
      <c r="F203" s="575">
        <v>2500</v>
      </c>
      <c r="G203" s="571">
        <v>0</v>
      </c>
      <c r="H203" s="533"/>
      <c r="I203" s="522">
        <v>0</v>
      </c>
      <c r="J203" s="572"/>
      <c r="K203" s="573"/>
      <c r="L203" s="443">
        <v>0</v>
      </c>
      <c r="M203" s="443"/>
      <c r="N203" s="136">
        <f t="shared" si="4"/>
        <v>0</v>
      </c>
      <c r="O203" s="140"/>
      <c r="P203" s="38"/>
      <c r="Q203" s="37"/>
      <c r="R203" s="36"/>
      <c r="S203" s="35"/>
    </row>
    <row r="204" spans="1:19" s="28" customFormat="1" ht="13.5" hidden="1">
      <c r="A204" s="139">
        <v>177</v>
      </c>
      <c r="B204" s="569"/>
      <c r="C204" s="142"/>
      <c r="D204" s="141"/>
      <c r="E204" s="441">
        <v>0</v>
      </c>
      <c r="F204" s="570">
        <v>0</v>
      </c>
      <c r="G204" s="571">
        <v>0</v>
      </c>
      <c r="H204" s="533"/>
      <c r="I204" s="522">
        <v>0</v>
      </c>
      <c r="J204" s="572"/>
      <c r="K204" s="573"/>
      <c r="L204" s="441">
        <v>0</v>
      </c>
      <c r="M204" s="441"/>
      <c r="N204" s="136">
        <f t="shared" si="4"/>
        <v>0</v>
      </c>
      <c r="O204" s="140"/>
      <c r="P204" s="38"/>
      <c r="Q204" s="37"/>
      <c r="R204" s="36"/>
      <c r="S204" s="35"/>
    </row>
    <row r="205" spans="1:19" s="28" customFormat="1" ht="13.5" hidden="1">
      <c r="A205" s="139">
        <v>178</v>
      </c>
      <c r="B205" s="569" t="s">
        <v>150</v>
      </c>
      <c r="C205" s="142"/>
      <c r="D205" s="141"/>
      <c r="E205" s="571">
        <v>0</v>
      </c>
      <c r="F205" s="576">
        <v>0</v>
      </c>
      <c r="G205" s="571">
        <v>0</v>
      </c>
      <c r="H205" s="533"/>
      <c r="I205" s="522">
        <v>0</v>
      </c>
      <c r="J205" s="572"/>
      <c r="K205" s="573"/>
      <c r="L205" s="444">
        <v>0</v>
      </c>
      <c r="M205" s="444"/>
      <c r="N205" s="136">
        <f t="shared" si="4"/>
        <v>0</v>
      </c>
      <c r="O205" s="140"/>
      <c r="P205" s="38"/>
      <c r="Q205" s="37"/>
      <c r="R205" s="36"/>
      <c r="S205" s="35"/>
    </row>
    <row r="206" spans="1:19" s="45" customFormat="1" ht="13.5" hidden="1">
      <c r="A206" s="139">
        <v>179</v>
      </c>
      <c r="B206" s="569" t="s">
        <v>102</v>
      </c>
      <c r="C206" s="142"/>
      <c r="D206" s="141"/>
      <c r="E206" s="442">
        <v>0</v>
      </c>
      <c r="F206" s="574">
        <v>0</v>
      </c>
      <c r="G206" s="571">
        <v>0</v>
      </c>
      <c r="H206" s="533"/>
      <c r="I206" s="522">
        <v>0</v>
      </c>
      <c r="J206" s="572"/>
      <c r="K206" s="573"/>
      <c r="L206" s="442">
        <v>0</v>
      </c>
      <c r="M206" s="442"/>
      <c r="N206" s="136">
        <f t="shared" si="4"/>
        <v>0</v>
      </c>
      <c r="O206" s="140"/>
      <c r="P206" s="38"/>
      <c r="Q206" s="37"/>
      <c r="R206" s="36"/>
      <c r="S206" s="35"/>
    </row>
    <row r="207" spans="1:19" s="80" customFormat="1" ht="13.5">
      <c r="A207" s="33">
        <v>183</v>
      </c>
      <c r="B207" s="144" t="s">
        <v>101</v>
      </c>
      <c r="C207" s="23"/>
      <c r="D207" s="22"/>
      <c r="E207" s="99">
        <v>0</v>
      </c>
      <c r="F207" s="412">
        <v>0</v>
      </c>
      <c r="G207" s="453">
        <v>0</v>
      </c>
      <c r="H207" s="405"/>
      <c r="I207" s="406">
        <v>0</v>
      </c>
      <c r="J207" s="407"/>
      <c r="K207" s="428"/>
      <c r="L207" s="438">
        <v>0</v>
      </c>
      <c r="M207" s="438"/>
      <c r="N207" s="136">
        <f t="shared" si="4"/>
        <v>0</v>
      </c>
      <c r="O207" s="24"/>
      <c r="P207" s="83"/>
      <c r="Q207" s="82"/>
      <c r="R207" s="82"/>
      <c r="S207" s="81"/>
    </row>
    <row r="208" spans="1:19" s="80" customFormat="1" ht="13.5">
      <c r="A208" s="33">
        <v>184</v>
      </c>
      <c r="B208" s="577" t="s">
        <v>149</v>
      </c>
      <c r="C208" s="23"/>
      <c r="D208" s="22" t="s">
        <v>34</v>
      </c>
      <c r="E208" s="105">
        <v>61697</v>
      </c>
      <c r="F208" s="415">
        <v>54908</v>
      </c>
      <c r="G208" s="455">
        <v>64589</v>
      </c>
      <c r="H208" s="449"/>
      <c r="I208" s="578">
        <v>65411.18</v>
      </c>
      <c r="J208" s="579"/>
      <c r="K208" s="580"/>
      <c r="L208" s="445">
        <v>74299</v>
      </c>
      <c r="M208" s="445">
        <f>'GV'!C85</f>
        <v>77943</v>
      </c>
      <c r="N208" s="136">
        <f t="shared" si="4"/>
        <v>-3644</v>
      </c>
      <c r="O208" s="104"/>
      <c r="P208" s="83"/>
      <c r="Q208" s="82"/>
      <c r="R208" s="82"/>
      <c r="S208" s="81"/>
    </row>
    <row r="209" spans="1:19" s="28" customFormat="1" ht="13.5">
      <c r="A209" s="33" t="s">
        <v>148</v>
      </c>
      <c r="B209" s="144" t="s">
        <v>98</v>
      </c>
      <c r="C209" s="23"/>
      <c r="D209" s="22"/>
      <c r="E209" s="99">
        <v>1512</v>
      </c>
      <c r="F209" s="412">
        <v>1512</v>
      </c>
      <c r="G209" s="451">
        <v>1512</v>
      </c>
      <c r="H209" s="405"/>
      <c r="I209" s="406">
        <v>1512</v>
      </c>
      <c r="J209" s="407"/>
      <c r="K209" s="428"/>
      <c r="L209" s="438">
        <v>1512</v>
      </c>
      <c r="M209" s="438">
        <v>1512</v>
      </c>
      <c r="N209" s="136">
        <f t="shared" si="4"/>
        <v>0</v>
      </c>
      <c r="O209" s="19"/>
      <c r="P209" s="38"/>
      <c r="Q209" s="37"/>
      <c r="R209" s="36"/>
      <c r="S209" s="35"/>
    </row>
    <row r="210" spans="1:19" s="80" customFormat="1" ht="13.5">
      <c r="A210" s="33">
        <v>185</v>
      </c>
      <c r="B210" s="144" t="s">
        <v>147</v>
      </c>
      <c r="C210" s="23"/>
      <c r="D210" s="22"/>
      <c r="E210" s="99">
        <v>500</v>
      </c>
      <c r="F210" s="412">
        <v>500</v>
      </c>
      <c r="G210" s="451">
        <v>500</v>
      </c>
      <c r="H210" s="405"/>
      <c r="I210" s="406">
        <v>500</v>
      </c>
      <c r="J210" s="407"/>
      <c r="K210" s="428"/>
      <c r="L210" s="438">
        <v>500</v>
      </c>
      <c r="M210" s="438">
        <v>500</v>
      </c>
      <c r="N210" s="136">
        <f t="shared" si="4"/>
        <v>0</v>
      </c>
      <c r="O210" s="19"/>
      <c r="P210" s="83"/>
      <c r="Q210" s="82"/>
      <c r="R210" s="82"/>
      <c r="S210" s="81"/>
    </row>
    <row r="211" spans="1:19" s="28" customFormat="1" ht="12.75" customHeight="1">
      <c r="A211" s="33">
        <v>186</v>
      </c>
      <c r="B211" s="103" t="s">
        <v>96</v>
      </c>
      <c r="C211" s="23"/>
      <c r="D211" s="22"/>
      <c r="E211" s="99">
        <v>1100</v>
      </c>
      <c r="F211" s="412">
        <v>1100</v>
      </c>
      <c r="G211" s="451">
        <v>1100</v>
      </c>
      <c r="H211" s="405"/>
      <c r="I211" s="406">
        <v>1600</v>
      </c>
      <c r="J211" s="407"/>
      <c r="K211" s="428"/>
      <c r="L211" s="438">
        <v>2500</v>
      </c>
      <c r="M211" s="438">
        <v>2500</v>
      </c>
      <c r="N211" s="136">
        <f t="shared" si="4"/>
        <v>0</v>
      </c>
      <c r="O211" s="19"/>
      <c r="P211" s="38"/>
      <c r="Q211" s="37"/>
      <c r="R211" s="36"/>
      <c r="S211" s="35"/>
    </row>
    <row r="212" spans="1:19" ht="12.75" customHeight="1" thickBot="1">
      <c r="A212" s="33">
        <v>187</v>
      </c>
      <c r="B212" s="103" t="s">
        <v>720</v>
      </c>
      <c r="C212" s="23"/>
      <c r="D212" s="22"/>
      <c r="E212" s="99">
        <v>0</v>
      </c>
      <c r="F212" s="412">
        <v>0</v>
      </c>
      <c r="G212" s="451">
        <v>0</v>
      </c>
      <c r="H212" s="405"/>
      <c r="I212" s="406">
        <v>0</v>
      </c>
      <c r="J212" s="407"/>
      <c r="K212" s="428"/>
      <c r="L212" s="438">
        <v>11340</v>
      </c>
      <c r="M212" s="438"/>
      <c r="N212" s="136">
        <f t="shared" si="4"/>
        <v>11340</v>
      </c>
      <c r="O212" s="24"/>
      <c r="P212" s="76"/>
      <c r="Q212" s="75"/>
      <c r="R212" s="74"/>
      <c r="S212" s="73"/>
    </row>
    <row r="213" spans="1:26" ht="13.5" customHeight="1">
      <c r="A213" s="33">
        <v>188</v>
      </c>
      <c r="B213" s="103" t="s">
        <v>95</v>
      </c>
      <c r="C213" s="23"/>
      <c r="D213" s="22"/>
      <c r="E213" s="99">
        <v>0</v>
      </c>
      <c r="F213" s="412">
        <v>0</v>
      </c>
      <c r="G213" s="451">
        <v>0</v>
      </c>
      <c r="H213" s="405"/>
      <c r="I213" s="406">
        <v>0</v>
      </c>
      <c r="J213" s="407"/>
      <c r="K213" s="428"/>
      <c r="L213" s="438">
        <v>0</v>
      </c>
      <c r="M213" s="438"/>
      <c r="N213" s="136">
        <f t="shared" si="4"/>
        <v>0</v>
      </c>
      <c r="O213" s="19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19" ht="13.5" hidden="1">
      <c r="A214" s="139">
        <v>186</v>
      </c>
      <c r="B214" s="143" t="s">
        <v>94</v>
      </c>
      <c r="C214" s="142"/>
      <c r="D214" s="141"/>
      <c r="E214" s="441">
        <v>0</v>
      </c>
      <c r="F214" s="570">
        <v>0</v>
      </c>
      <c r="G214" s="571">
        <v>0</v>
      </c>
      <c r="H214" s="533"/>
      <c r="I214" s="522">
        <v>0</v>
      </c>
      <c r="J214" s="572"/>
      <c r="K214" s="573"/>
      <c r="L214" s="441">
        <v>0</v>
      </c>
      <c r="M214" s="441"/>
      <c r="N214" s="136">
        <f t="shared" si="4"/>
        <v>0</v>
      </c>
      <c r="O214" s="548"/>
      <c r="P214" s="90">
        <v>0</v>
      </c>
      <c r="Q214" s="102">
        <v>0</v>
      </c>
      <c r="R214" s="102">
        <v>0</v>
      </c>
      <c r="S214" s="88">
        <v>0</v>
      </c>
    </row>
    <row r="215" spans="1:19" ht="13.5" hidden="1">
      <c r="A215" s="139">
        <v>187</v>
      </c>
      <c r="B215" s="581" t="s">
        <v>146</v>
      </c>
      <c r="C215" s="142"/>
      <c r="D215" s="141"/>
      <c r="E215" s="442">
        <v>0</v>
      </c>
      <c r="F215" s="574">
        <v>0</v>
      </c>
      <c r="G215" s="571">
        <v>0</v>
      </c>
      <c r="H215" s="533"/>
      <c r="I215" s="522">
        <v>0</v>
      </c>
      <c r="J215" s="572"/>
      <c r="K215" s="573"/>
      <c r="L215" s="442">
        <v>0</v>
      </c>
      <c r="M215" s="442"/>
      <c r="N215" s="136">
        <f t="shared" si="4"/>
        <v>0</v>
      </c>
      <c r="O215" s="548"/>
      <c r="P215" s="101"/>
      <c r="Q215" s="86"/>
      <c r="R215" s="85"/>
      <c r="S215" s="84"/>
    </row>
    <row r="216" spans="1:19" s="28" customFormat="1" ht="13.5">
      <c r="A216" s="33">
        <v>191</v>
      </c>
      <c r="B216" s="103" t="s">
        <v>145</v>
      </c>
      <c r="C216" s="23"/>
      <c r="D216" s="22" t="s">
        <v>34</v>
      </c>
      <c r="E216" s="99">
        <v>21445</v>
      </c>
      <c r="F216" s="412">
        <v>19962</v>
      </c>
      <c r="G216" s="453">
        <v>16884.497274</v>
      </c>
      <c r="H216" s="405"/>
      <c r="I216" s="406">
        <v>24706.61</v>
      </c>
      <c r="J216" s="407"/>
      <c r="K216" s="428"/>
      <c r="L216" s="438">
        <v>24245</v>
      </c>
      <c r="M216" s="438">
        <f>'GV'!C62</f>
        <v>24710.25</v>
      </c>
      <c r="N216" s="136">
        <f t="shared" si="4"/>
        <v>-465.25</v>
      </c>
      <c r="O216" s="19"/>
      <c r="P216" s="38"/>
      <c r="Q216" s="37"/>
      <c r="R216" s="36"/>
      <c r="S216" s="35"/>
    </row>
    <row r="217" spans="1:19" s="28" customFormat="1" ht="13.5" hidden="1">
      <c r="A217" s="139">
        <v>189</v>
      </c>
      <c r="B217" s="143" t="s">
        <v>144</v>
      </c>
      <c r="C217" s="142"/>
      <c r="D217" s="141"/>
      <c r="E217" s="443">
        <v>0</v>
      </c>
      <c r="F217" s="575">
        <v>0</v>
      </c>
      <c r="G217" s="571">
        <v>0</v>
      </c>
      <c r="H217" s="533"/>
      <c r="I217" s="522">
        <v>0</v>
      </c>
      <c r="J217" s="572"/>
      <c r="K217" s="573"/>
      <c r="L217" s="443">
        <v>0</v>
      </c>
      <c r="M217" s="443"/>
      <c r="N217" s="136">
        <f t="shared" si="4"/>
        <v>0</v>
      </c>
      <c r="O217" s="548"/>
      <c r="P217" s="38"/>
      <c r="Q217" s="37"/>
      <c r="R217" s="36"/>
      <c r="S217" s="35"/>
    </row>
    <row r="218" spans="1:19" s="28" customFormat="1" ht="13.5">
      <c r="A218" s="33">
        <v>193</v>
      </c>
      <c r="B218" s="103" t="s">
        <v>143</v>
      </c>
      <c r="C218" s="23"/>
      <c r="D218" s="22" t="s">
        <v>34</v>
      </c>
      <c r="E218" s="99">
        <v>27475.25</v>
      </c>
      <c r="F218" s="412">
        <v>19750</v>
      </c>
      <c r="G218" s="453">
        <v>18952.824</v>
      </c>
      <c r="H218" s="405"/>
      <c r="I218" s="406">
        <v>18490.56</v>
      </c>
      <c r="J218" s="407"/>
      <c r="K218" s="428"/>
      <c r="L218" s="438">
        <v>33655</v>
      </c>
      <c r="M218" s="438">
        <f>'GV'!C82</f>
        <v>24775.28</v>
      </c>
      <c r="N218" s="136">
        <f t="shared" si="4"/>
        <v>8879.720000000001</v>
      </c>
      <c r="O218" s="19"/>
      <c r="P218" s="38"/>
      <c r="Q218" s="37"/>
      <c r="R218" s="36"/>
      <c r="S218" s="35"/>
    </row>
    <row r="219" spans="1:19" s="28" customFormat="1" ht="14.25" thickBot="1">
      <c r="A219" s="517" t="s">
        <v>142</v>
      </c>
      <c r="B219" s="582" t="s">
        <v>141</v>
      </c>
      <c r="C219" s="18"/>
      <c r="D219" s="17" t="s">
        <v>34</v>
      </c>
      <c r="E219" s="98">
        <v>0</v>
      </c>
      <c r="F219" s="416">
        <v>0</v>
      </c>
      <c r="G219" s="452">
        <v>0</v>
      </c>
      <c r="H219" s="164"/>
      <c r="I219" s="583">
        <v>0</v>
      </c>
      <c r="J219" s="518"/>
      <c r="K219" s="519"/>
      <c r="L219" s="429">
        <v>0</v>
      </c>
      <c r="M219" s="429"/>
      <c r="N219" s="436">
        <f t="shared" si="4"/>
        <v>0</v>
      </c>
      <c r="O219" s="65"/>
      <c r="P219" s="38"/>
      <c r="Q219" s="37"/>
      <c r="R219" s="36"/>
      <c r="S219" s="35"/>
    </row>
    <row r="220" spans="1:19" s="665" customFormat="1" ht="14.25" thickBot="1">
      <c r="A220" s="743"/>
      <c r="B220" s="696"/>
      <c r="C220" s="697"/>
      <c r="D220" s="698"/>
      <c r="E220" s="697"/>
      <c r="F220" s="697"/>
      <c r="G220" s="744"/>
      <c r="H220" s="697"/>
      <c r="I220" s="717"/>
      <c r="J220" s="718"/>
      <c r="K220" s="718"/>
      <c r="L220" s="699"/>
      <c r="M220" s="699"/>
      <c r="N220" s="64">
        <f>SUM(L220-M220)</f>
        <v>0</v>
      </c>
      <c r="O220" s="703"/>
      <c r="P220" s="734"/>
      <c r="Q220" s="735"/>
      <c r="R220" s="736"/>
      <c r="S220" s="737"/>
    </row>
    <row r="221" spans="1:19" s="108" customFormat="1" ht="14.25" thickBot="1">
      <c r="A221" s="490"/>
      <c r="B221" s="555" t="s">
        <v>341</v>
      </c>
      <c r="C221" s="710"/>
      <c r="D221" s="745"/>
      <c r="E221" s="708">
        <v>2221809.6100000003</v>
      </c>
      <c r="F221" s="709" t="e">
        <v>#REF!</v>
      </c>
      <c r="G221" s="584">
        <f>SUM(G222:G286)</f>
        <v>2104542.14415</v>
      </c>
      <c r="H221" s="746"/>
      <c r="I221" s="710">
        <v>2786271.5875</v>
      </c>
      <c r="J221" s="747"/>
      <c r="K221" s="722">
        <v>-45000</v>
      </c>
      <c r="L221" s="585">
        <f>SUM(L222:L286)</f>
        <v>2846663</v>
      </c>
      <c r="M221" s="585">
        <f>SUM(M222:M286)</f>
        <v>2885330</v>
      </c>
      <c r="N221" s="646">
        <f>SUM(L221-M221)</f>
        <v>-38667</v>
      </c>
      <c r="O221" s="738"/>
      <c r="P221" s="739"/>
      <c r="Q221" s="740"/>
      <c r="R221" s="741"/>
      <c r="S221" s="742"/>
    </row>
    <row r="222" spans="1:19" s="666" customFormat="1" ht="13.5">
      <c r="A222" s="558">
        <v>211</v>
      </c>
      <c r="B222" s="586" t="s">
        <v>647</v>
      </c>
      <c r="C222" s="21"/>
      <c r="D222" s="59" t="s">
        <v>34</v>
      </c>
      <c r="E222" s="136">
        <v>97000</v>
      </c>
      <c r="F222" s="402">
        <v>98000</v>
      </c>
      <c r="G222" s="456">
        <v>100492</v>
      </c>
      <c r="H222" s="403"/>
      <c r="I222" s="719">
        <v>103505.73</v>
      </c>
      <c r="J222" s="564"/>
      <c r="K222" s="482"/>
      <c r="L222" s="446">
        <v>103506</v>
      </c>
      <c r="M222" s="446">
        <f>OTHER!C30</f>
        <v>105576</v>
      </c>
      <c r="N222" s="136">
        <f>SUM(L222-M222)</f>
        <v>-2070</v>
      </c>
      <c r="O222" s="96"/>
      <c r="P222" s="87"/>
      <c r="Q222" s="86"/>
      <c r="R222" s="85"/>
      <c r="S222" s="84"/>
    </row>
    <row r="223" spans="1:19" s="28" customFormat="1" ht="13.5">
      <c r="A223" s="33">
        <v>213</v>
      </c>
      <c r="B223" s="103" t="s">
        <v>648</v>
      </c>
      <c r="C223" s="23"/>
      <c r="D223" s="22" t="s">
        <v>34</v>
      </c>
      <c r="E223" s="20">
        <v>65710</v>
      </c>
      <c r="F223" s="400">
        <v>69097</v>
      </c>
      <c r="G223" s="454">
        <v>73425</v>
      </c>
      <c r="H223" s="403"/>
      <c r="I223" s="565">
        <v>80000</v>
      </c>
      <c r="J223" s="407"/>
      <c r="K223" s="428"/>
      <c r="L223" s="430">
        <v>84690</v>
      </c>
      <c r="M223" s="430">
        <f>OTHER!C31</f>
        <v>86363</v>
      </c>
      <c r="N223" s="136">
        <f>SUM(L223-M223)</f>
        <v>-1673</v>
      </c>
      <c r="O223" s="24"/>
      <c r="P223" s="38"/>
      <c r="Q223" s="37"/>
      <c r="R223" s="36"/>
      <c r="S223" s="35"/>
    </row>
    <row r="224" spans="1:19" s="28" customFormat="1" ht="13.5">
      <c r="A224" s="33">
        <v>214</v>
      </c>
      <c r="B224" s="32" t="s">
        <v>649</v>
      </c>
      <c r="C224" s="23"/>
      <c r="D224" s="22"/>
      <c r="E224" s="20">
        <v>1000</v>
      </c>
      <c r="F224" s="400">
        <v>1000</v>
      </c>
      <c r="G224" s="454">
        <v>2500</v>
      </c>
      <c r="H224" s="403"/>
      <c r="I224" s="587">
        <v>3750</v>
      </c>
      <c r="J224" s="407"/>
      <c r="K224" s="428"/>
      <c r="L224" s="430">
        <v>3750</v>
      </c>
      <c r="M224" s="430">
        <v>3750</v>
      </c>
      <c r="N224" s="136">
        <f>SUM(L224-M224)</f>
        <v>0</v>
      </c>
      <c r="O224" s="24"/>
      <c r="P224" s="38"/>
      <c r="Q224" s="37"/>
      <c r="R224" s="36"/>
      <c r="S224" s="35"/>
    </row>
    <row r="225" spans="1:19" s="28" customFormat="1" ht="13.5">
      <c r="A225" s="33">
        <v>215</v>
      </c>
      <c r="B225" s="32" t="s">
        <v>650</v>
      </c>
      <c r="C225" s="23"/>
      <c r="D225" s="22"/>
      <c r="E225" s="20">
        <v>1000</v>
      </c>
      <c r="F225" s="400">
        <v>1000</v>
      </c>
      <c r="G225" s="454">
        <v>1500</v>
      </c>
      <c r="H225" s="403"/>
      <c r="I225" s="587">
        <v>2250</v>
      </c>
      <c r="J225" s="407"/>
      <c r="K225" s="428"/>
      <c r="L225" s="430">
        <v>2250</v>
      </c>
      <c r="M225" s="430">
        <v>2250</v>
      </c>
      <c r="N225" s="136">
        <f aca="true" t="shared" si="5" ref="N225:N286">SUM(L225-M225)</f>
        <v>0</v>
      </c>
      <c r="O225" s="24"/>
      <c r="P225" s="38"/>
      <c r="Q225" s="37"/>
      <c r="R225" s="36"/>
      <c r="S225" s="35"/>
    </row>
    <row r="226" spans="1:19" s="28" customFormat="1" ht="13.5">
      <c r="A226" s="33">
        <v>216</v>
      </c>
      <c r="B226" s="32" t="s">
        <v>651</v>
      </c>
      <c r="C226" s="23"/>
      <c r="D226" s="22"/>
      <c r="E226" s="20">
        <v>500</v>
      </c>
      <c r="F226" s="400">
        <v>500</v>
      </c>
      <c r="G226" s="454">
        <v>500</v>
      </c>
      <c r="H226" s="403"/>
      <c r="I226" s="587">
        <v>750</v>
      </c>
      <c r="J226" s="407"/>
      <c r="K226" s="428"/>
      <c r="L226" s="430">
        <v>850</v>
      </c>
      <c r="M226" s="430">
        <v>850</v>
      </c>
      <c r="N226" s="136">
        <f t="shared" si="5"/>
        <v>0</v>
      </c>
      <c r="O226" s="24"/>
      <c r="P226" s="38"/>
      <c r="Q226" s="37"/>
      <c r="R226" s="36"/>
      <c r="S226" s="35"/>
    </row>
    <row r="227" spans="1:19" s="28" customFormat="1" ht="13.5">
      <c r="A227" s="33">
        <v>217</v>
      </c>
      <c r="B227" s="32" t="s">
        <v>681</v>
      </c>
      <c r="C227" s="23"/>
      <c r="D227" s="22"/>
      <c r="E227" s="20">
        <v>0</v>
      </c>
      <c r="F227" s="400">
        <v>0</v>
      </c>
      <c r="G227" s="454">
        <v>3000</v>
      </c>
      <c r="H227" s="403"/>
      <c r="I227" s="587">
        <v>3000</v>
      </c>
      <c r="J227" s="407"/>
      <c r="K227" s="428"/>
      <c r="L227" s="430"/>
      <c r="M227" s="430"/>
      <c r="N227" s="136">
        <f t="shared" si="5"/>
        <v>0</v>
      </c>
      <c r="O227" s="24"/>
      <c r="P227" s="38"/>
      <c r="Q227" s="37"/>
      <c r="R227" s="36"/>
      <c r="S227" s="35"/>
    </row>
    <row r="228" spans="1:19" s="28" customFormat="1" ht="13.5">
      <c r="A228" s="33">
        <v>218</v>
      </c>
      <c r="B228" s="32" t="s">
        <v>140</v>
      </c>
      <c r="C228" s="23"/>
      <c r="D228" s="22"/>
      <c r="E228" s="20">
        <v>3000</v>
      </c>
      <c r="F228" s="400">
        <v>3000</v>
      </c>
      <c r="G228" s="454"/>
      <c r="H228" s="403"/>
      <c r="I228" s="587"/>
      <c r="J228" s="407"/>
      <c r="K228" s="428"/>
      <c r="L228" s="430">
        <v>3100</v>
      </c>
      <c r="M228" s="430">
        <v>3100</v>
      </c>
      <c r="N228" s="136">
        <f t="shared" si="5"/>
        <v>0</v>
      </c>
      <c r="O228" s="24"/>
      <c r="P228" s="38"/>
      <c r="Q228" s="37"/>
      <c r="R228" s="36"/>
      <c r="S228" s="35"/>
    </row>
    <row r="229" spans="1:19" s="28" customFormat="1" ht="13.5">
      <c r="A229" s="33">
        <v>219</v>
      </c>
      <c r="B229" s="32" t="s">
        <v>652</v>
      </c>
      <c r="C229" s="23"/>
      <c r="D229" s="22"/>
      <c r="E229" s="20">
        <v>2000</v>
      </c>
      <c r="F229" s="400">
        <v>2000</v>
      </c>
      <c r="G229" s="454">
        <v>2000</v>
      </c>
      <c r="H229" s="403"/>
      <c r="I229" s="587">
        <v>2000</v>
      </c>
      <c r="J229" s="407"/>
      <c r="K229" s="428"/>
      <c r="L229" s="430">
        <v>2000</v>
      </c>
      <c r="M229" s="430">
        <v>2000</v>
      </c>
      <c r="N229" s="136">
        <f t="shared" si="5"/>
        <v>0</v>
      </c>
      <c r="O229" s="24"/>
      <c r="P229" s="38"/>
      <c r="Q229" s="37"/>
      <c r="R229" s="36"/>
      <c r="S229" s="35"/>
    </row>
    <row r="230" spans="1:19" s="28" customFormat="1" ht="13.5">
      <c r="A230" s="33">
        <v>220</v>
      </c>
      <c r="B230" s="32" t="s">
        <v>653</v>
      </c>
      <c r="C230" s="23"/>
      <c r="D230" s="22" t="s">
        <v>34</v>
      </c>
      <c r="E230" s="20">
        <v>10000</v>
      </c>
      <c r="F230" s="400">
        <v>8125</v>
      </c>
      <c r="G230" s="454">
        <v>20000</v>
      </c>
      <c r="H230" s="403"/>
      <c r="I230" s="587">
        <v>11000</v>
      </c>
      <c r="J230" s="407"/>
      <c r="K230" s="428"/>
      <c r="L230" s="430">
        <v>8000</v>
      </c>
      <c r="M230" s="430">
        <v>5000</v>
      </c>
      <c r="N230" s="136">
        <f t="shared" si="5"/>
        <v>3000</v>
      </c>
      <c r="O230" s="24"/>
      <c r="P230" s="38"/>
      <c r="Q230" s="37"/>
      <c r="R230" s="36"/>
      <c r="S230" s="35"/>
    </row>
    <row r="231" spans="1:19" s="28" customFormat="1" ht="13.5">
      <c r="A231" s="33" t="s">
        <v>139</v>
      </c>
      <c r="B231" s="103" t="s">
        <v>682</v>
      </c>
      <c r="C231" s="23"/>
      <c r="D231" s="22" t="s">
        <v>34</v>
      </c>
      <c r="E231" s="99">
        <v>252183</v>
      </c>
      <c r="F231" s="412">
        <v>240029</v>
      </c>
      <c r="G231" s="454"/>
      <c r="H231" s="405"/>
      <c r="I231" s="406">
        <v>186017</v>
      </c>
      <c r="J231" s="407"/>
      <c r="K231" s="428"/>
      <c r="L231" s="438">
        <v>217414</v>
      </c>
      <c r="M231" s="438">
        <f>MHS!C6</f>
        <v>224499</v>
      </c>
      <c r="N231" s="136">
        <f t="shared" si="5"/>
        <v>-7085</v>
      </c>
      <c r="O231" s="29"/>
      <c r="P231" s="38"/>
      <c r="Q231" s="37"/>
      <c r="R231" s="36"/>
      <c r="S231" s="35"/>
    </row>
    <row r="232" spans="1:19" s="28" customFormat="1" ht="13.5">
      <c r="A232" s="33" t="s">
        <v>138</v>
      </c>
      <c r="B232" s="103" t="s">
        <v>683</v>
      </c>
      <c r="C232" s="23"/>
      <c r="D232" s="22" t="s">
        <v>34</v>
      </c>
      <c r="E232" s="99">
        <v>212772</v>
      </c>
      <c r="F232" s="412">
        <v>202681</v>
      </c>
      <c r="G232" s="454"/>
      <c r="H232" s="405"/>
      <c r="I232" s="406">
        <v>119150</v>
      </c>
      <c r="J232" s="407"/>
      <c r="K232" s="428"/>
      <c r="L232" s="438">
        <v>134596</v>
      </c>
      <c r="M232" s="438">
        <f>MHS!C12</f>
        <v>179828</v>
      </c>
      <c r="N232" s="136">
        <f t="shared" si="5"/>
        <v>-45232</v>
      </c>
      <c r="O232" s="29"/>
      <c r="P232" s="38"/>
      <c r="Q232" s="37"/>
      <c r="R232" s="36"/>
      <c r="S232" s="35"/>
    </row>
    <row r="233" spans="1:19" s="28" customFormat="1" ht="13.5">
      <c r="A233" s="33" t="s">
        <v>137</v>
      </c>
      <c r="B233" s="32" t="s">
        <v>654</v>
      </c>
      <c r="C233" s="23"/>
      <c r="D233" s="22" t="s">
        <v>34</v>
      </c>
      <c r="E233" s="20">
        <v>61803</v>
      </c>
      <c r="F233" s="400">
        <v>62397</v>
      </c>
      <c r="G233" s="454">
        <v>63826</v>
      </c>
      <c r="H233" s="403"/>
      <c r="I233" s="587">
        <v>67451</v>
      </c>
      <c r="J233" s="407"/>
      <c r="K233" s="428"/>
      <c r="L233" s="430">
        <v>109062</v>
      </c>
      <c r="M233" s="430">
        <f>MHS!C62</f>
        <v>111243</v>
      </c>
      <c r="N233" s="136">
        <f t="shared" si="5"/>
        <v>-2181</v>
      </c>
      <c r="O233" s="24"/>
      <c r="P233" s="38"/>
      <c r="Q233" s="37"/>
      <c r="R233" s="36"/>
      <c r="S233" s="35"/>
    </row>
    <row r="234" spans="1:19" s="28" customFormat="1" ht="13.5">
      <c r="A234" s="33" t="s">
        <v>136</v>
      </c>
      <c r="B234" s="32" t="s">
        <v>655</v>
      </c>
      <c r="C234" s="23"/>
      <c r="D234" s="22" t="s">
        <v>34</v>
      </c>
      <c r="E234" s="20">
        <v>68470</v>
      </c>
      <c r="F234" s="400">
        <v>63802</v>
      </c>
      <c r="G234" s="454">
        <v>69568</v>
      </c>
      <c r="H234" s="403"/>
      <c r="I234" s="587">
        <v>74572</v>
      </c>
      <c r="J234" s="407"/>
      <c r="K234" s="428"/>
      <c r="L234" s="430">
        <v>76142</v>
      </c>
      <c r="M234" s="430">
        <f>MHS!C72</f>
        <v>77664</v>
      </c>
      <c r="N234" s="136">
        <f t="shared" si="5"/>
        <v>-1522</v>
      </c>
      <c r="O234" s="24"/>
      <c r="P234" s="38"/>
      <c r="Q234" s="37"/>
      <c r="R234" s="36"/>
      <c r="S234" s="35"/>
    </row>
    <row r="235" spans="1:19" s="28" customFormat="1" ht="13.5">
      <c r="A235" s="33" t="s">
        <v>135</v>
      </c>
      <c r="B235" s="32" t="s">
        <v>656</v>
      </c>
      <c r="C235" s="23"/>
      <c r="D235" s="22" t="s">
        <v>34</v>
      </c>
      <c r="E235" s="20">
        <v>204920</v>
      </c>
      <c r="F235" s="400">
        <v>223571</v>
      </c>
      <c r="G235" s="454">
        <v>215934</v>
      </c>
      <c r="H235" s="403"/>
      <c r="I235" s="587">
        <v>193195</v>
      </c>
      <c r="J235" s="407"/>
      <c r="K235" s="428"/>
      <c r="L235" s="430">
        <v>174594</v>
      </c>
      <c r="M235" s="430">
        <f>MHS!C36</f>
        <v>125046</v>
      </c>
      <c r="N235" s="136">
        <f t="shared" si="5"/>
        <v>49548</v>
      </c>
      <c r="O235" s="24"/>
      <c r="P235" s="38"/>
      <c r="Q235" s="37"/>
      <c r="R235" s="36"/>
      <c r="S235" s="35"/>
    </row>
    <row r="236" spans="1:19" s="28" customFormat="1" ht="13.5">
      <c r="A236" s="33" t="s">
        <v>134</v>
      </c>
      <c r="B236" s="32" t="s">
        <v>657</v>
      </c>
      <c r="C236" s="23"/>
      <c r="D236" s="22" t="s">
        <v>34</v>
      </c>
      <c r="E236" s="20">
        <v>116466</v>
      </c>
      <c r="F236" s="400">
        <v>111798</v>
      </c>
      <c r="G236" s="454">
        <v>75626</v>
      </c>
      <c r="H236" s="403"/>
      <c r="I236" s="587">
        <v>46856</v>
      </c>
      <c r="J236" s="407"/>
      <c r="K236" s="428"/>
      <c r="L236" s="430">
        <v>80994</v>
      </c>
      <c r="M236" s="430">
        <f>MHS!C66</f>
        <v>82614</v>
      </c>
      <c r="N236" s="136">
        <f t="shared" si="5"/>
        <v>-1620</v>
      </c>
      <c r="O236" s="24"/>
      <c r="P236" s="38"/>
      <c r="Q236" s="37"/>
      <c r="R236" s="36"/>
      <c r="S236" s="35"/>
    </row>
    <row r="237" spans="1:19" s="28" customFormat="1" ht="13.5">
      <c r="A237" s="33" t="s">
        <v>133</v>
      </c>
      <c r="B237" s="32" t="s">
        <v>658</v>
      </c>
      <c r="C237" s="23"/>
      <c r="D237" s="22" t="s">
        <v>34</v>
      </c>
      <c r="E237" s="20">
        <v>259322</v>
      </c>
      <c r="F237" s="400">
        <v>245288</v>
      </c>
      <c r="G237" s="454">
        <v>189968</v>
      </c>
      <c r="H237" s="403"/>
      <c r="I237" s="587">
        <v>203115</v>
      </c>
      <c r="J237" s="407"/>
      <c r="K237" s="428"/>
      <c r="L237" s="430">
        <v>209697</v>
      </c>
      <c r="M237" s="430">
        <f>MHS!C19</f>
        <v>239692</v>
      </c>
      <c r="N237" s="136">
        <f t="shared" si="5"/>
        <v>-29995</v>
      </c>
      <c r="O237" s="24"/>
      <c r="P237" s="38"/>
      <c r="Q237" s="37"/>
      <c r="R237" s="36"/>
      <c r="S237" s="35"/>
    </row>
    <row r="238" spans="1:19" s="28" customFormat="1" ht="13.5">
      <c r="A238" s="33" t="s">
        <v>132</v>
      </c>
      <c r="B238" s="32" t="s">
        <v>659</v>
      </c>
      <c r="C238" s="23"/>
      <c r="D238" s="22" t="s">
        <v>34</v>
      </c>
      <c r="E238" s="20">
        <v>191556</v>
      </c>
      <c r="F238" s="400">
        <v>188620</v>
      </c>
      <c r="G238" s="454">
        <v>197827</v>
      </c>
      <c r="H238" s="403"/>
      <c r="I238" s="587">
        <v>208928</v>
      </c>
      <c r="J238" s="407"/>
      <c r="K238" s="428"/>
      <c r="L238" s="430">
        <v>262460</v>
      </c>
      <c r="M238" s="430">
        <f>MHS!C44</f>
        <v>290861</v>
      </c>
      <c r="N238" s="136">
        <f t="shared" si="5"/>
        <v>-28401</v>
      </c>
      <c r="O238" s="24"/>
      <c r="P238" s="38"/>
      <c r="Q238" s="37"/>
      <c r="R238" s="36"/>
      <c r="S238" s="35"/>
    </row>
    <row r="239" spans="1:19" s="28" customFormat="1" ht="13.5">
      <c r="A239" s="33" t="s">
        <v>131</v>
      </c>
      <c r="B239" s="32" t="s">
        <v>660</v>
      </c>
      <c r="C239" s="23"/>
      <c r="D239" s="22" t="s">
        <v>34</v>
      </c>
      <c r="E239" s="20">
        <v>189697</v>
      </c>
      <c r="F239" s="400">
        <v>185634</v>
      </c>
      <c r="G239" s="454">
        <v>177228</v>
      </c>
      <c r="H239" s="403"/>
      <c r="I239" s="587">
        <v>191416</v>
      </c>
      <c r="J239" s="407"/>
      <c r="K239" s="428"/>
      <c r="L239" s="430">
        <v>198493</v>
      </c>
      <c r="M239" s="430">
        <f>MHS!C25</f>
        <v>207149</v>
      </c>
      <c r="N239" s="136">
        <f t="shared" si="5"/>
        <v>-8656</v>
      </c>
      <c r="O239" s="24"/>
      <c r="P239" s="38"/>
      <c r="Q239" s="37"/>
      <c r="R239" s="36"/>
      <c r="S239" s="35"/>
    </row>
    <row r="240" spans="1:19" s="28" customFormat="1" ht="13.5">
      <c r="A240" s="33" t="s">
        <v>130</v>
      </c>
      <c r="B240" s="32" t="s">
        <v>661</v>
      </c>
      <c r="C240" s="23"/>
      <c r="D240" s="22" t="s">
        <v>34</v>
      </c>
      <c r="E240" s="20">
        <v>154801</v>
      </c>
      <c r="F240" s="400">
        <v>154633</v>
      </c>
      <c r="G240" s="456">
        <v>169467</v>
      </c>
      <c r="H240" s="403"/>
      <c r="I240" s="587">
        <v>219692</v>
      </c>
      <c r="J240" s="407"/>
      <c r="K240" s="428"/>
      <c r="L240" s="430">
        <v>226619</v>
      </c>
      <c r="M240" s="430">
        <f>MHS!C31</f>
        <v>234564</v>
      </c>
      <c r="N240" s="136">
        <f t="shared" si="5"/>
        <v>-7945</v>
      </c>
      <c r="O240" s="24"/>
      <c r="P240" s="38"/>
      <c r="Q240" s="37"/>
      <c r="R240" s="36"/>
      <c r="S240" s="35"/>
    </row>
    <row r="241" spans="1:19" s="28" customFormat="1" ht="13.5">
      <c r="A241" s="33" t="s">
        <v>129</v>
      </c>
      <c r="B241" s="32" t="s">
        <v>662</v>
      </c>
      <c r="C241" s="23"/>
      <c r="D241" s="22" t="s">
        <v>34</v>
      </c>
      <c r="E241" s="20">
        <v>44512</v>
      </c>
      <c r="F241" s="400">
        <v>65034</v>
      </c>
      <c r="G241" s="454">
        <v>0</v>
      </c>
      <c r="H241" s="403"/>
      <c r="I241" s="587">
        <v>131210</v>
      </c>
      <c r="J241" s="407"/>
      <c r="K241" s="428"/>
      <c r="L241" s="430">
        <v>75274</v>
      </c>
      <c r="M241" s="430">
        <f>MHS!C56</f>
        <v>76779</v>
      </c>
      <c r="N241" s="136">
        <f t="shared" si="5"/>
        <v>-1505</v>
      </c>
      <c r="O241" s="24"/>
      <c r="P241" s="38"/>
      <c r="Q241" s="37"/>
      <c r="R241" s="36"/>
      <c r="S241" s="35"/>
    </row>
    <row r="242" spans="1:19" s="28" customFormat="1" ht="13.5">
      <c r="A242" s="33" t="s">
        <v>128</v>
      </c>
      <c r="B242" s="32" t="s">
        <v>663</v>
      </c>
      <c r="C242" s="23"/>
      <c r="D242" s="22" t="s">
        <v>34</v>
      </c>
      <c r="E242" s="20">
        <v>120525</v>
      </c>
      <c r="F242" s="400">
        <v>81802</v>
      </c>
      <c r="G242" s="454">
        <v>176571</v>
      </c>
      <c r="H242" s="403"/>
      <c r="I242" s="587">
        <v>104277</v>
      </c>
      <c r="J242" s="407"/>
      <c r="K242" s="428"/>
      <c r="L242" s="430">
        <v>124618</v>
      </c>
      <c r="M242" s="430">
        <f>MHS!C53</f>
        <v>109618</v>
      </c>
      <c r="N242" s="136">
        <f t="shared" si="5"/>
        <v>15000</v>
      </c>
      <c r="O242" s="24"/>
      <c r="P242" s="38"/>
      <c r="Q242" s="37"/>
      <c r="R242" s="36"/>
      <c r="S242" s="35"/>
    </row>
    <row r="243" spans="1:19" s="28" customFormat="1" ht="13.5">
      <c r="A243" s="33">
        <v>222</v>
      </c>
      <c r="B243" s="32" t="s">
        <v>845</v>
      </c>
      <c r="C243" s="23"/>
      <c r="D243" s="22" t="s">
        <v>34</v>
      </c>
      <c r="E243" s="20">
        <v>10000</v>
      </c>
      <c r="F243" s="400">
        <v>0</v>
      </c>
      <c r="G243" s="454">
        <v>0</v>
      </c>
      <c r="H243" s="403"/>
      <c r="I243" s="587">
        <v>10300</v>
      </c>
      <c r="J243" s="407">
        <v>10300</v>
      </c>
      <c r="K243" s="428"/>
      <c r="L243" s="430">
        <v>32607</v>
      </c>
      <c r="M243" s="430">
        <v>33259</v>
      </c>
      <c r="N243" s="136">
        <f t="shared" si="5"/>
        <v>-652</v>
      </c>
      <c r="O243" s="121"/>
      <c r="P243" s="38"/>
      <c r="Q243" s="37"/>
      <c r="R243" s="36"/>
      <c r="S243" s="35"/>
    </row>
    <row r="244" spans="1:19" s="28" customFormat="1" ht="13.5">
      <c r="A244" s="33">
        <v>223</v>
      </c>
      <c r="B244" s="32" t="s">
        <v>127</v>
      </c>
      <c r="C244" s="23"/>
      <c r="D244" s="22"/>
      <c r="E244" s="20">
        <v>0</v>
      </c>
      <c r="F244" s="400">
        <v>0</v>
      </c>
      <c r="G244" s="454">
        <v>0</v>
      </c>
      <c r="H244" s="403"/>
      <c r="I244" s="587">
        <v>0</v>
      </c>
      <c r="J244" s="407"/>
      <c r="K244" s="428"/>
      <c r="L244" s="430">
        <v>0</v>
      </c>
      <c r="M244" s="430">
        <v>0</v>
      </c>
      <c r="N244" s="136">
        <f t="shared" si="5"/>
        <v>0</v>
      </c>
      <c r="O244" s="24"/>
      <c r="P244" s="38"/>
      <c r="Q244" s="37"/>
      <c r="R244" s="36"/>
      <c r="S244" s="35"/>
    </row>
    <row r="245" spans="1:19" s="28" customFormat="1" ht="13.5">
      <c r="A245" s="33">
        <v>224</v>
      </c>
      <c r="B245" s="32" t="s">
        <v>664</v>
      </c>
      <c r="C245" s="23"/>
      <c r="D245" s="22"/>
      <c r="E245" s="20">
        <v>2000</v>
      </c>
      <c r="F245" s="400">
        <v>2000</v>
      </c>
      <c r="G245" s="454">
        <v>2000</v>
      </c>
      <c r="H245" s="403"/>
      <c r="I245" s="587">
        <v>3000</v>
      </c>
      <c r="J245" s="407"/>
      <c r="K245" s="428"/>
      <c r="L245" s="430">
        <v>3000</v>
      </c>
      <c r="M245" s="430">
        <v>3000</v>
      </c>
      <c r="N245" s="136">
        <f t="shared" si="5"/>
        <v>0</v>
      </c>
      <c r="O245" s="24"/>
      <c r="P245" s="38"/>
      <c r="Q245" s="37"/>
      <c r="R245" s="36"/>
      <c r="S245" s="35"/>
    </row>
    <row r="246" spans="1:19" s="28" customFormat="1" ht="13.5">
      <c r="A246" s="33" t="s">
        <v>126</v>
      </c>
      <c r="B246" s="32" t="s">
        <v>665</v>
      </c>
      <c r="C246" s="60"/>
      <c r="D246" s="59"/>
      <c r="E246" s="20">
        <v>0</v>
      </c>
      <c r="F246" s="400">
        <v>0</v>
      </c>
      <c r="G246" s="454">
        <v>0</v>
      </c>
      <c r="H246" s="403"/>
      <c r="I246" s="587">
        <v>0</v>
      </c>
      <c r="J246" s="407"/>
      <c r="K246" s="428"/>
      <c r="L246" s="430">
        <v>0</v>
      </c>
      <c r="M246" s="430"/>
      <c r="N246" s="136">
        <f t="shared" si="5"/>
        <v>0</v>
      </c>
      <c r="O246" s="24"/>
      <c r="P246" s="38"/>
      <c r="Q246" s="37"/>
      <c r="R246" s="36"/>
      <c r="S246" s="35"/>
    </row>
    <row r="247" spans="1:19" s="28" customFormat="1" ht="13.5">
      <c r="A247" s="33" t="s">
        <v>125</v>
      </c>
      <c r="B247" s="32" t="s">
        <v>666</v>
      </c>
      <c r="C247" s="60"/>
      <c r="D247" s="59"/>
      <c r="E247" s="20">
        <v>1250</v>
      </c>
      <c r="F247" s="400">
        <v>1250</v>
      </c>
      <c r="G247" s="454">
        <v>450</v>
      </c>
      <c r="H247" s="403"/>
      <c r="I247" s="587">
        <v>99</v>
      </c>
      <c r="J247" s="407"/>
      <c r="K247" s="428"/>
      <c r="L247" s="430"/>
      <c r="M247" s="430"/>
      <c r="N247" s="136">
        <f t="shared" si="5"/>
        <v>0</v>
      </c>
      <c r="O247" s="24"/>
      <c r="P247" s="38"/>
      <c r="Q247" s="37"/>
      <c r="R247" s="36"/>
      <c r="S247" s="35"/>
    </row>
    <row r="248" spans="1:19" s="28" customFormat="1" ht="13.5">
      <c r="A248" s="33" t="s">
        <v>124</v>
      </c>
      <c r="B248" s="32" t="s">
        <v>667</v>
      </c>
      <c r="C248" s="60"/>
      <c r="D248" s="59"/>
      <c r="E248" s="20">
        <v>0</v>
      </c>
      <c r="F248" s="400">
        <v>0</v>
      </c>
      <c r="G248" s="454">
        <v>0</v>
      </c>
      <c r="H248" s="403"/>
      <c r="I248" s="587">
        <v>0</v>
      </c>
      <c r="J248" s="407"/>
      <c r="K248" s="428"/>
      <c r="L248" s="430">
        <v>0</v>
      </c>
      <c r="M248" s="430"/>
      <c r="N248" s="136">
        <f t="shared" si="5"/>
        <v>0</v>
      </c>
      <c r="O248" s="24"/>
      <c r="P248" s="38"/>
      <c r="Q248" s="37"/>
      <c r="R248" s="36"/>
      <c r="S248" s="35"/>
    </row>
    <row r="249" spans="1:19" s="28" customFormat="1" ht="13.5">
      <c r="A249" s="33" t="s">
        <v>123</v>
      </c>
      <c r="B249" s="32" t="s">
        <v>668</v>
      </c>
      <c r="C249" s="60"/>
      <c r="D249" s="59"/>
      <c r="E249" s="20">
        <v>0</v>
      </c>
      <c r="F249" s="400">
        <v>0</v>
      </c>
      <c r="G249" s="454">
        <v>0</v>
      </c>
      <c r="H249" s="403"/>
      <c r="I249" s="587">
        <v>0</v>
      </c>
      <c r="J249" s="407"/>
      <c r="K249" s="428"/>
      <c r="L249" s="430"/>
      <c r="M249" s="430">
        <v>199</v>
      </c>
      <c r="N249" s="136">
        <f t="shared" si="5"/>
        <v>-199</v>
      </c>
      <c r="O249" s="19"/>
      <c r="P249" s="38"/>
      <c r="Q249" s="37"/>
      <c r="R249" s="36"/>
      <c r="S249" s="35"/>
    </row>
    <row r="250" spans="1:19" s="28" customFormat="1" ht="13.5">
      <c r="A250" s="33" t="s">
        <v>122</v>
      </c>
      <c r="B250" s="32" t="s">
        <v>669</v>
      </c>
      <c r="C250" s="60"/>
      <c r="D250" s="59"/>
      <c r="E250" s="20">
        <v>200</v>
      </c>
      <c r="F250" s="400">
        <v>200</v>
      </c>
      <c r="G250" s="454">
        <v>250</v>
      </c>
      <c r="H250" s="403"/>
      <c r="I250" s="587">
        <v>250</v>
      </c>
      <c r="J250" s="407"/>
      <c r="K250" s="428"/>
      <c r="L250" s="430"/>
      <c r="M250" s="430">
        <v>642</v>
      </c>
      <c r="N250" s="136">
        <f t="shared" si="5"/>
        <v>-642</v>
      </c>
      <c r="O250" s="392"/>
      <c r="P250" s="38"/>
      <c r="Q250" s="37"/>
      <c r="R250" s="36"/>
      <c r="S250" s="35"/>
    </row>
    <row r="251" spans="1:19" s="28" customFormat="1" ht="13.5">
      <c r="A251" s="33" t="s">
        <v>121</v>
      </c>
      <c r="B251" s="32" t="s">
        <v>670</v>
      </c>
      <c r="C251" s="60"/>
      <c r="D251" s="59"/>
      <c r="E251" s="20">
        <v>0</v>
      </c>
      <c r="F251" s="400">
        <v>0</v>
      </c>
      <c r="G251" s="454">
        <v>0</v>
      </c>
      <c r="H251" s="403"/>
      <c r="I251" s="587">
        <v>0</v>
      </c>
      <c r="J251" s="407"/>
      <c r="K251" s="428"/>
      <c r="L251" s="430">
        <v>0</v>
      </c>
      <c r="M251" s="430"/>
      <c r="N251" s="136">
        <f t="shared" si="5"/>
        <v>0</v>
      </c>
      <c r="O251" s="19"/>
      <c r="P251" s="38"/>
      <c r="Q251" s="37"/>
      <c r="R251" s="36"/>
      <c r="S251" s="35"/>
    </row>
    <row r="252" spans="1:19" s="28" customFormat="1" ht="13.5">
      <c r="A252" s="33" t="s">
        <v>120</v>
      </c>
      <c r="B252" s="32" t="s">
        <v>671</v>
      </c>
      <c r="C252" s="60"/>
      <c r="D252" s="59"/>
      <c r="E252" s="20">
        <v>874</v>
      </c>
      <c r="F252" s="400">
        <v>874</v>
      </c>
      <c r="G252" s="454">
        <v>874</v>
      </c>
      <c r="H252" s="403"/>
      <c r="I252" s="587">
        <v>1300</v>
      </c>
      <c r="J252" s="407"/>
      <c r="K252" s="428"/>
      <c r="L252" s="430"/>
      <c r="M252" s="430">
        <v>1000</v>
      </c>
      <c r="N252" s="136">
        <f t="shared" si="5"/>
        <v>-1000</v>
      </c>
      <c r="O252" s="19"/>
      <c r="P252" s="38"/>
      <c r="Q252" s="37"/>
      <c r="R252" s="36"/>
      <c r="S252" s="35"/>
    </row>
    <row r="253" spans="1:19" s="28" customFormat="1" ht="13.5">
      <c r="A253" s="33" t="s">
        <v>119</v>
      </c>
      <c r="B253" s="32" t="s">
        <v>672</v>
      </c>
      <c r="C253" s="60"/>
      <c r="D253" s="59"/>
      <c r="E253" s="20">
        <v>245</v>
      </c>
      <c r="F253" s="400">
        <v>245</v>
      </c>
      <c r="G253" s="454">
        <v>714</v>
      </c>
      <c r="H253" s="403"/>
      <c r="I253" s="587">
        <v>1175</v>
      </c>
      <c r="J253" s="407"/>
      <c r="K253" s="428"/>
      <c r="L253" s="430">
        <v>420</v>
      </c>
      <c r="M253" s="430"/>
      <c r="N253" s="136">
        <f t="shared" si="5"/>
        <v>420</v>
      </c>
      <c r="O253" s="19"/>
      <c r="P253" s="38"/>
      <c r="Q253" s="37"/>
      <c r="R253" s="36"/>
      <c r="S253" s="35"/>
    </row>
    <row r="254" spans="1:19" s="28" customFormat="1" ht="13.5">
      <c r="A254" s="33" t="s">
        <v>118</v>
      </c>
      <c r="B254" s="32" t="s">
        <v>673</v>
      </c>
      <c r="C254" s="60"/>
      <c r="D254" s="59"/>
      <c r="E254" s="20">
        <v>1585</v>
      </c>
      <c r="F254" s="400">
        <v>1585</v>
      </c>
      <c r="G254" s="454">
        <v>1195</v>
      </c>
      <c r="H254" s="403"/>
      <c r="I254" s="587"/>
      <c r="J254" s="407"/>
      <c r="K254" s="428"/>
      <c r="L254" s="430"/>
      <c r="M254" s="430">
        <v>1295</v>
      </c>
      <c r="N254" s="136">
        <f t="shared" si="5"/>
        <v>-1295</v>
      </c>
      <c r="O254" s="19"/>
      <c r="P254" s="38"/>
      <c r="Q254" s="37"/>
      <c r="R254" s="36"/>
      <c r="S254" s="35"/>
    </row>
    <row r="255" spans="1:19" s="28" customFormat="1" ht="13.5">
      <c r="A255" s="33" t="s">
        <v>117</v>
      </c>
      <c r="B255" s="32" t="s">
        <v>674</v>
      </c>
      <c r="C255" s="60"/>
      <c r="D255" s="59"/>
      <c r="E255" s="20">
        <v>1230</v>
      </c>
      <c r="F255" s="400">
        <v>1230</v>
      </c>
      <c r="G255" s="454">
        <v>750</v>
      </c>
      <c r="H255" s="403"/>
      <c r="I255" s="587">
        <v>775</v>
      </c>
      <c r="J255" s="407"/>
      <c r="K255" s="428"/>
      <c r="L255" s="430">
        <v>2200</v>
      </c>
      <c r="M255" s="430"/>
      <c r="N255" s="136">
        <f t="shared" si="5"/>
        <v>2200</v>
      </c>
      <c r="O255" s="19"/>
      <c r="P255" s="38"/>
      <c r="Q255" s="37"/>
      <c r="R255" s="36"/>
      <c r="S255" s="35"/>
    </row>
    <row r="256" spans="1:19" s="28" customFormat="1" ht="13.5">
      <c r="A256" s="33" t="s">
        <v>116</v>
      </c>
      <c r="B256" s="32" t="s">
        <v>675</v>
      </c>
      <c r="C256" s="60"/>
      <c r="D256" s="59"/>
      <c r="E256" s="20">
        <v>1700</v>
      </c>
      <c r="F256" s="400">
        <v>1700</v>
      </c>
      <c r="G256" s="454">
        <v>1700</v>
      </c>
      <c r="H256" s="403"/>
      <c r="I256" s="587">
        <v>2550</v>
      </c>
      <c r="J256" s="407"/>
      <c r="K256" s="428"/>
      <c r="L256" s="430">
        <v>2500</v>
      </c>
      <c r="M256" s="430">
        <v>2500</v>
      </c>
      <c r="N256" s="136">
        <f t="shared" si="5"/>
        <v>0</v>
      </c>
      <c r="O256" s="24"/>
      <c r="P256" s="38"/>
      <c r="Q256" s="37"/>
      <c r="R256" s="36"/>
      <c r="S256" s="35"/>
    </row>
    <row r="257" spans="1:19" s="28" customFormat="1" ht="13.5">
      <c r="A257" s="33">
        <v>226</v>
      </c>
      <c r="B257" s="32" t="s">
        <v>844</v>
      </c>
      <c r="C257" s="60"/>
      <c r="D257" s="59"/>
      <c r="E257" s="20">
        <v>41495</v>
      </c>
      <c r="F257" s="400">
        <v>39495</v>
      </c>
      <c r="G257" s="454">
        <v>30000</v>
      </c>
      <c r="H257" s="403"/>
      <c r="I257" s="587">
        <v>21096</v>
      </c>
      <c r="J257" s="407"/>
      <c r="K257" s="428"/>
      <c r="L257" s="430">
        <v>30000</v>
      </c>
      <c r="M257" s="430">
        <v>29000</v>
      </c>
      <c r="N257" s="136">
        <f t="shared" si="5"/>
        <v>1000</v>
      </c>
      <c r="O257" s="24"/>
      <c r="P257" s="38"/>
      <c r="Q257" s="37"/>
      <c r="R257" s="36"/>
      <c r="S257" s="35"/>
    </row>
    <row r="258" spans="1:19" s="45" customFormat="1" ht="13.5">
      <c r="A258" s="33">
        <v>229</v>
      </c>
      <c r="B258" s="32" t="s">
        <v>676</v>
      </c>
      <c r="C258" s="60"/>
      <c r="D258" s="59"/>
      <c r="E258" s="20">
        <v>400</v>
      </c>
      <c r="F258" s="400">
        <v>400</v>
      </c>
      <c r="G258" s="454">
        <v>400</v>
      </c>
      <c r="H258" s="403"/>
      <c r="I258" s="587">
        <v>400</v>
      </c>
      <c r="J258" s="407"/>
      <c r="K258" s="428"/>
      <c r="L258" s="430">
        <v>350</v>
      </c>
      <c r="M258" s="430"/>
      <c r="N258" s="136">
        <f t="shared" si="5"/>
        <v>350</v>
      </c>
      <c r="O258" s="24"/>
      <c r="P258" s="94"/>
      <c r="Q258" s="93"/>
      <c r="R258" s="93"/>
      <c r="S258" s="92"/>
    </row>
    <row r="259" spans="1:19" s="45" customFormat="1" ht="13.5">
      <c r="A259" s="33">
        <v>230</v>
      </c>
      <c r="B259" s="32" t="s">
        <v>677</v>
      </c>
      <c r="C259" s="60"/>
      <c r="D259" s="59"/>
      <c r="E259" s="20">
        <v>5000</v>
      </c>
      <c r="F259" s="400">
        <v>5000</v>
      </c>
      <c r="G259" s="454">
        <v>3100</v>
      </c>
      <c r="H259" s="403"/>
      <c r="I259" s="587">
        <v>3100</v>
      </c>
      <c r="J259" s="407"/>
      <c r="K259" s="428"/>
      <c r="L259" s="430">
        <v>1400</v>
      </c>
      <c r="M259" s="430"/>
      <c r="N259" s="136">
        <f t="shared" si="5"/>
        <v>1400</v>
      </c>
      <c r="O259" s="121"/>
      <c r="P259" s="94"/>
      <c r="Q259" s="93"/>
      <c r="R259" s="93"/>
      <c r="S259" s="92"/>
    </row>
    <row r="260" spans="1:19" s="45" customFormat="1" ht="13.5">
      <c r="A260" s="33">
        <v>231</v>
      </c>
      <c r="B260" s="32" t="s">
        <v>678</v>
      </c>
      <c r="C260" s="60"/>
      <c r="D260" s="59"/>
      <c r="E260" s="20">
        <v>2700</v>
      </c>
      <c r="F260" s="400">
        <v>1700</v>
      </c>
      <c r="G260" s="454">
        <v>400</v>
      </c>
      <c r="H260" s="403"/>
      <c r="I260" s="587">
        <v>600</v>
      </c>
      <c r="J260" s="407"/>
      <c r="K260" s="428"/>
      <c r="L260" s="430">
        <v>600</v>
      </c>
      <c r="M260" s="430"/>
      <c r="N260" s="136">
        <f t="shared" si="5"/>
        <v>600</v>
      </c>
      <c r="O260" s="24"/>
      <c r="P260" s="94"/>
      <c r="Q260" s="93"/>
      <c r="R260" s="93"/>
      <c r="S260" s="92"/>
    </row>
    <row r="261" spans="1:19" s="28" customFormat="1" ht="13.5">
      <c r="A261" s="33">
        <v>233</v>
      </c>
      <c r="B261" s="32" t="s">
        <v>846</v>
      </c>
      <c r="C261" s="60"/>
      <c r="D261" s="59" t="s">
        <v>34</v>
      </c>
      <c r="E261" s="20">
        <v>61102.259999999995</v>
      </c>
      <c r="F261" s="400">
        <v>61102.259999999995</v>
      </c>
      <c r="G261" s="454">
        <v>67311.839</v>
      </c>
      <c r="H261" s="403"/>
      <c r="I261" s="587">
        <v>68685.55</v>
      </c>
      <c r="J261" s="407"/>
      <c r="K261" s="428"/>
      <c r="L261" s="430">
        <v>53190</v>
      </c>
      <c r="M261" s="430">
        <f>MHS!C95</f>
        <v>59411</v>
      </c>
      <c r="N261" s="136">
        <f t="shared" si="5"/>
        <v>-6221</v>
      </c>
      <c r="O261" s="24"/>
      <c r="P261" s="38"/>
      <c r="Q261" s="37"/>
      <c r="R261" s="36"/>
      <c r="S261" s="35"/>
    </row>
    <row r="262" spans="1:19" s="28" customFormat="1" ht="13.5">
      <c r="A262" s="33">
        <v>234</v>
      </c>
      <c r="B262" s="32" t="s">
        <v>114</v>
      </c>
      <c r="C262" s="60"/>
      <c r="D262" s="59"/>
      <c r="E262" s="20">
        <v>900</v>
      </c>
      <c r="F262" s="400">
        <v>900</v>
      </c>
      <c r="G262" s="454">
        <v>900</v>
      </c>
      <c r="H262" s="403"/>
      <c r="I262" s="406">
        <v>900</v>
      </c>
      <c r="J262" s="407"/>
      <c r="K262" s="428"/>
      <c r="L262" s="430">
        <v>900</v>
      </c>
      <c r="M262" s="430">
        <v>900</v>
      </c>
      <c r="N262" s="136">
        <f t="shared" si="5"/>
        <v>0</v>
      </c>
      <c r="O262" s="24"/>
      <c r="P262" s="38"/>
      <c r="Q262" s="37"/>
      <c r="R262" s="36"/>
      <c r="S262" s="35"/>
    </row>
    <row r="263" spans="1:19" s="28" customFormat="1" ht="15" customHeight="1">
      <c r="A263" s="33">
        <v>237</v>
      </c>
      <c r="B263" s="62" t="s">
        <v>113</v>
      </c>
      <c r="C263" s="60"/>
      <c r="D263" s="59"/>
      <c r="E263" s="20">
        <v>25000</v>
      </c>
      <c r="F263" s="400">
        <v>22000</v>
      </c>
      <c r="G263" s="454">
        <v>25000</v>
      </c>
      <c r="H263" s="403"/>
      <c r="I263" s="406">
        <v>35000</v>
      </c>
      <c r="J263" s="407"/>
      <c r="K263" s="428"/>
      <c r="L263" s="430">
        <v>25000</v>
      </c>
      <c r="M263" s="430">
        <v>20000</v>
      </c>
      <c r="N263" s="136">
        <f t="shared" si="5"/>
        <v>5000</v>
      </c>
      <c r="O263" s="24"/>
      <c r="P263" s="38"/>
      <c r="Q263" s="37"/>
      <c r="R263" s="36"/>
      <c r="S263" s="35"/>
    </row>
    <row r="264" spans="1:19" s="28" customFormat="1" ht="13.5">
      <c r="A264" s="33">
        <v>239</v>
      </c>
      <c r="B264" s="62" t="s">
        <v>679</v>
      </c>
      <c r="C264" s="60"/>
      <c r="D264" s="59"/>
      <c r="E264" s="20">
        <v>3550</v>
      </c>
      <c r="F264" s="400">
        <v>3550</v>
      </c>
      <c r="G264" s="454">
        <v>10000</v>
      </c>
      <c r="H264" s="403"/>
      <c r="I264" s="406">
        <v>10000</v>
      </c>
      <c r="J264" s="407"/>
      <c r="K264" s="428"/>
      <c r="L264" s="430">
        <v>5000</v>
      </c>
      <c r="M264" s="430">
        <v>0</v>
      </c>
      <c r="N264" s="136">
        <f t="shared" si="5"/>
        <v>5000</v>
      </c>
      <c r="O264" s="393"/>
      <c r="P264" s="38"/>
      <c r="Q264" s="37"/>
      <c r="R264" s="36"/>
      <c r="S264" s="35"/>
    </row>
    <row r="265" spans="1:19" s="28" customFormat="1" ht="13.5">
      <c r="A265" s="33">
        <v>240</v>
      </c>
      <c r="B265" s="62" t="s">
        <v>112</v>
      </c>
      <c r="C265" s="60"/>
      <c r="D265" s="59"/>
      <c r="E265" s="20">
        <v>1500</v>
      </c>
      <c r="F265" s="400">
        <v>1500</v>
      </c>
      <c r="G265" s="454">
        <v>1500</v>
      </c>
      <c r="H265" s="403"/>
      <c r="I265" s="406">
        <v>1500</v>
      </c>
      <c r="J265" s="407"/>
      <c r="K265" s="428"/>
      <c r="L265" s="430">
        <v>3879</v>
      </c>
      <c r="M265" s="430">
        <v>0</v>
      </c>
      <c r="N265" s="136">
        <f t="shared" si="5"/>
        <v>3879</v>
      </c>
      <c r="O265" s="121"/>
      <c r="P265" s="38"/>
      <c r="Q265" s="37"/>
      <c r="R265" s="36"/>
      <c r="S265" s="35"/>
    </row>
    <row r="266" spans="1:19" s="80" customFormat="1" ht="13.5" hidden="1">
      <c r="A266" s="33">
        <v>242</v>
      </c>
      <c r="B266" s="62" t="s">
        <v>111</v>
      </c>
      <c r="C266" s="60"/>
      <c r="D266" s="59"/>
      <c r="E266" s="20">
        <v>0</v>
      </c>
      <c r="F266" s="400">
        <v>0</v>
      </c>
      <c r="G266" s="454">
        <v>0</v>
      </c>
      <c r="H266" s="403"/>
      <c r="I266" s="406">
        <v>0</v>
      </c>
      <c r="J266" s="407"/>
      <c r="K266" s="428"/>
      <c r="L266" s="430">
        <v>0</v>
      </c>
      <c r="M266" s="430"/>
      <c r="N266" s="136">
        <f t="shared" si="5"/>
        <v>0</v>
      </c>
      <c r="O266" s="121"/>
      <c r="P266" s="83"/>
      <c r="Q266" s="82"/>
      <c r="R266" s="82"/>
      <c r="S266" s="81"/>
    </row>
    <row r="267" spans="1:19" s="28" customFormat="1" ht="13.5">
      <c r="A267" s="33">
        <v>243</v>
      </c>
      <c r="B267" s="62" t="s">
        <v>110</v>
      </c>
      <c r="C267" s="60"/>
      <c r="D267" s="59" t="s">
        <v>34</v>
      </c>
      <c r="E267" s="20">
        <v>72536</v>
      </c>
      <c r="F267" s="400">
        <v>71359</v>
      </c>
      <c r="G267" s="454">
        <v>76953.4424</v>
      </c>
      <c r="H267" s="403"/>
      <c r="I267" s="406">
        <v>80152</v>
      </c>
      <c r="J267" s="407"/>
      <c r="K267" s="428"/>
      <c r="L267" s="430">
        <v>81862</v>
      </c>
      <c r="M267" s="430">
        <f>MHS!C69</f>
        <v>83499</v>
      </c>
      <c r="N267" s="136">
        <f t="shared" si="5"/>
        <v>-1637</v>
      </c>
      <c r="O267" s="121"/>
      <c r="P267" s="38"/>
      <c r="Q267" s="37"/>
      <c r="R267" s="36"/>
      <c r="S267" s="35"/>
    </row>
    <row r="268" spans="1:19" s="28" customFormat="1" ht="15" customHeight="1" hidden="1">
      <c r="A268" s="33" t="s">
        <v>109</v>
      </c>
      <c r="B268" s="62" t="s">
        <v>108</v>
      </c>
      <c r="C268" s="60"/>
      <c r="D268" s="59"/>
      <c r="E268" s="20">
        <v>0</v>
      </c>
      <c r="F268" s="400">
        <v>0</v>
      </c>
      <c r="G268" s="454">
        <v>0</v>
      </c>
      <c r="H268" s="403"/>
      <c r="I268" s="406">
        <v>0</v>
      </c>
      <c r="J268" s="407"/>
      <c r="K268" s="428"/>
      <c r="L268" s="430"/>
      <c r="M268" s="430"/>
      <c r="N268" s="136">
        <f t="shared" si="5"/>
        <v>0</v>
      </c>
      <c r="O268" s="121"/>
      <c r="P268" s="38"/>
      <c r="Q268" s="37"/>
      <c r="R268" s="36"/>
      <c r="S268" s="35"/>
    </row>
    <row r="269" spans="1:19" s="28" customFormat="1" ht="15">
      <c r="A269" s="33">
        <v>244</v>
      </c>
      <c r="B269" s="62" t="s">
        <v>107</v>
      </c>
      <c r="C269" s="60"/>
      <c r="D269" s="59" t="s">
        <v>34</v>
      </c>
      <c r="E269" s="20">
        <v>137143</v>
      </c>
      <c r="F269" s="400">
        <v>129327</v>
      </c>
      <c r="G269" s="454">
        <v>150815.425</v>
      </c>
      <c r="H269" s="403"/>
      <c r="I269" s="406">
        <v>237656</v>
      </c>
      <c r="J269" s="407"/>
      <c r="K269" s="428"/>
      <c r="L269" s="430">
        <v>244075</v>
      </c>
      <c r="M269" s="430">
        <f>MHS!C78</f>
        <v>228607</v>
      </c>
      <c r="N269" s="136">
        <f t="shared" si="5"/>
        <v>15468</v>
      </c>
      <c r="O269" s="121"/>
      <c r="P269" s="38"/>
      <c r="Q269" s="37"/>
      <c r="R269" s="36"/>
      <c r="S269" s="35"/>
    </row>
    <row r="270" spans="1:19" s="28" customFormat="1" ht="13.5">
      <c r="A270" s="33" t="s">
        <v>106</v>
      </c>
      <c r="B270" s="62" t="s">
        <v>105</v>
      </c>
      <c r="C270" s="60"/>
      <c r="D270" s="59"/>
      <c r="E270" s="20">
        <v>5000</v>
      </c>
      <c r="F270" s="400">
        <v>5000</v>
      </c>
      <c r="G270" s="454">
        <v>5000</v>
      </c>
      <c r="H270" s="403"/>
      <c r="I270" s="406">
        <v>5000</v>
      </c>
      <c r="J270" s="407"/>
      <c r="K270" s="428"/>
      <c r="L270" s="430">
        <v>5000</v>
      </c>
      <c r="M270" s="430">
        <v>5000</v>
      </c>
      <c r="N270" s="136">
        <f t="shared" si="5"/>
        <v>0</v>
      </c>
      <c r="O270" s="121"/>
      <c r="P270" s="38"/>
      <c r="Q270" s="37"/>
      <c r="R270" s="36"/>
      <c r="S270" s="35"/>
    </row>
    <row r="271" spans="1:19" s="28" customFormat="1" ht="13.5">
      <c r="A271" s="33">
        <v>245</v>
      </c>
      <c r="B271" s="62" t="s">
        <v>104</v>
      </c>
      <c r="C271" s="60"/>
      <c r="D271" s="59"/>
      <c r="E271" s="20">
        <v>11280</v>
      </c>
      <c r="F271" s="400">
        <v>11280</v>
      </c>
      <c r="G271" s="454">
        <v>8000</v>
      </c>
      <c r="H271" s="403"/>
      <c r="I271" s="406">
        <v>10000</v>
      </c>
      <c r="J271" s="407"/>
      <c r="K271" s="428"/>
      <c r="L271" s="430">
        <v>7000</v>
      </c>
      <c r="M271" s="430">
        <v>4775</v>
      </c>
      <c r="N271" s="136">
        <f t="shared" si="5"/>
        <v>2225</v>
      </c>
      <c r="O271" s="121"/>
      <c r="P271" s="38"/>
      <c r="Q271" s="37"/>
      <c r="R271" s="36"/>
      <c r="S271" s="35"/>
    </row>
    <row r="272" spans="1:19" s="28" customFormat="1" ht="13.5">
      <c r="A272" s="33">
        <v>246</v>
      </c>
      <c r="B272" s="62" t="s">
        <v>103</v>
      </c>
      <c r="C272" s="60"/>
      <c r="D272" s="59"/>
      <c r="E272" s="20">
        <v>2200</v>
      </c>
      <c r="F272" s="400">
        <v>2200</v>
      </c>
      <c r="G272" s="454">
        <v>2100</v>
      </c>
      <c r="H272" s="403"/>
      <c r="I272" s="406">
        <v>2500</v>
      </c>
      <c r="J272" s="407"/>
      <c r="K272" s="428"/>
      <c r="L272" s="430">
        <v>2500</v>
      </c>
      <c r="M272" s="430">
        <v>3950</v>
      </c>
      <c r="N272" s="136">
        <f t="shared" si="5"/>
        <v>-1450</v>
      </c>
      <c r="O272" s="24"/>
      <c r="P272" s="38"/>
      <c r="Q272" s="37"/>
      <c r="R272" s="36"/>
      <c r="S272" s="35"/>
    </row>
    <row r="273" spans="1:19" s="28" customFormat="1" ht="13.5" hidden="1">
      <c r="A273" s="139">
        <v>245</v>
      </c>
      <c r="B273" s="588" t="s">
        <v>102</v>
      </c>
      <c r="C273" s="589"/>
      <c r="D273" s="590"/>
      <c r="E273" s="95">
        <v>0</v>
      </c>
      <c r="F273" s="401">
        <v>0</v>
      </c>
      <c r="G273" s="457">
        <v>0</v>
      </c>
      <c r="H273" s="404"/>
      <c r="I273" s="522">
        <v>0</v>
      </c>
      <c r="J273" s="572"/>
      <c r="K273" s="573"/>
      <c r="L273" s="430"/>
      <c r="M273" s="431"/>
      <c r="N273" s="136">
        <f t="shared" si="5"/>
        <v>0</v>
      </c>
      <c r="O273" s="140"/>
      <c r="P273" s="38"/>
      <c r="Q273" s="37"/>
      <c r="R273" s="36"/>
      <c r="S273" s="35"/>
    </row>
    <row r="274" spans="1:19" s="28" customFormat="1" ht="13.5" hidden="1">
      <c r="A274" s="33">
        <v>252</v>
      </c>
      <c r="B274" s="62" t="s">
        <v>101</v>
      </c>
      <c r="C274" s="60"/>
      <c r="D274" s="59"/>
      <c r="E274" s="20">
        <v>0</v>
      </c>
      <c r="F274" s="400">
        <v>0</v>
      </c>
      <c r="G274" s="456">
        <v>0</v>
      </c>
      <c r="H274" s="403"/>
      <c r="I274" s="406">
        <v>0</v>
      </c>
      <c r="J274" s="407"/>
      <c r="K274" s="428"/>
      <c r="L274" s="430"/>
      <c r="M274" s="430"/>
      <c r="N274" s="136">
        <f t="shared" si="5"/>
        <v>0</v>
      </c>
      <c r="O274" s="24"/>
      <c r="P274" s="38"/>
      <c r="Q274" s="37"/>
      <c r="R274" s="36"/>
      <c r="S274" s="35"/>
    </row>
    <row r="275" spans="1:19" s="28" customFormat="1" ht="13.5">
      <c r="A275" s="33">
        <v>253</v>
      </c>
      <c r="B275" s="32" t="s">
        <v>100</v>
      </c>
      <c r="C275" s="23"/>
      <c r="D275" s="22" t="s">
        <v>34</v>
      </c>
      <c r="E275" s="20">
        <v>61947.924999999996</v>
      </c>
      <c r="F275" s="400">
        <v>61947.924999999996</v>
      </c>
      <c r="G275" s="454">
        <v>63806.36275</v>
      </c>
      <c r="H275" s="403"/>
      <c r="I275" s="587">
        <v>66880</v>
      </c>
      <c r="J275" s="407"/>
      <c r="K275" s="428"/>
      <c r="L275" s="430">
        <v>67537</v>
      </c>
      <c r="M275" s="430">
        <f>MHS!C89</f>
        <v>68999</v>
      </c>
      <c r="N275" s="136">
        <f t="shared" si="5"/>
        <v>-1462</v>
      </c>
      <c r="O275" s="24"/>
      <c r="P275" s="38"/>
      <c r="Q275" s="37"/>
      <c r="R275" s="36"/>
      <c r="S275" s="35"/>
    </row>
    <row r="276" spans="1:19" s="28" customFormat="1" ht="13.5">
      <c r="A276" s="524" t="s">
        <v>99</v>
      </c>
      <c r="B276" s="119" t="s">
        <v>98</v>
      </c>
      <c r="C276" s="23"/>
      <c r="D276" s="22"/>
      <c r="E276" s="20">
        <v>1288.425</v>
      </c>
      <c r="F276" s="400">
        <v>1288.425</v>
      </c>
      <c r="G276" s="454">
        <v>1288.425</v>
      </c>
      <c r="H276" s="403"/>
      <c r="I276" s="406">
        <v>1288.425</v>
      </c>
      <c r="J276" s="407"/>
      <c r="K276" s="428"/>
      <c r="L276" s="430">
        <v>1288</v>
      </c>
      <c r="M276" s="430">
        <v>1288</v>
      </c>
      <c r="N276" s="136">
        <f t="shared" si="5"/>
        <v>0</v>
      </c>
      <c r="O276" s="24"/>
      <c r="P276" s="38"/>
      <c r="Q276" s="37"/>
      <c r="R276" s="36"/>
      <c r="S276" s="35"/>
    </row>
    <row r="277" spans="1:19" s="28" customFormat="1" ht="13.5">
      <c r="A277" s="33">
        <v>254</v>
      </c>
      <c r="B277" s="62" t="s">
        <v>97</v>
      </c>
      <c r="C277" s="60"/>
      <c r="D277" s="59"/>
      <c r="E277" s="20">
        <v>0</v>
      </c>
      <c r="F277" s="400">
        <v>0</v>
      </c>
      <c r="G277" s="454">
        <v>0</v>
      </c>
      <c r="H277" s="403"/>
      <c r="I277" s="406">
        <v>0</v>
      </c>
      <c r="J277" s="407"/>
      <c r="K277" s="428"/>
      <c r="L277" s="430">
        <v>500</v>
      </c>
      <c r="M277" s="430">
        <v>500</v>
      </c>
      <c r="N277" s="136">
        <f t="shared" si="5"/>
        <v>0</v>
      </c>
      <c r="O277" s="24"/>
      <c r="P277" s="38"/>
      <c r="Q277" s="37"/>
      <c r="R277" s="36"/>
      <c r="S277" s="35"/>
    </row>
    <row r="278" spans="1:19" s="45" customFormat="1" ht="13.5">
      <c r="A278" s="33">
        <v>255</v>
      </c>
      <c r="B278" s="62" t="s">
        <v>96</v>
      </c>
      <c r="C278" s="60"/>
      <c r="D278" s="59"/>
      <c r="E278" s="20">
        <v>1145</v>
      </c>
      <c r="F278" s="400">
        <v>1145</v>
      </c>
      <c r="G278" s="454">
        <v>1200</v>
      </c>
      <c r="H278" s="403"/>
      <c r="I278" s="406">
        <v>1681</v>
      </c>
      <c r="J278" s="407"/>
      <c r="K278" s="428"/>
      <c r="L278" s="430">
        <v>1708</v>
      </c>
      <c r="M278" s="430">
        <v>1016</v>
      </c>
      <c r="N278" s="136">
        <f t="shared" si="5"/>
        <v>692</v>
      </c>
      <c r="O278" s="24"/>
      <c r="P278" s="94"/>
      <c r="Q278" s="93"/>
      <c r="R278" s="93"/>
      <c r="S278" s="92"/>
    </row>
    <row r="279" spans="1:19" ht="14.25" thickBot="1">
      <c r="A279" s="33">
        <v>256</v>
      </c>
      <c r="B279" s="103" t="s">
        <v>720</v>
      </c>
      <c r="C279" s="60"/>
      <c r="D279" s="59"/>
      <c r="E279" s="20">
        <v>0</v>
      </c>
      <c r="F279" s="400"/>
      <c r="G279" s="454">
        <v>0</v>
      </c>
      <c r="H279" s="403"/>
      <c r="I279" s="406">
        <v>0</v>
      </c>
      <c r="J279" s="407"/>
      <c r="K279" s="428"/>
      <c r="L279" s="430">
        <v>11340</v>
      </c>
      <c r="M279" s="430"/>
      <c r="N279" s="136">
        <f t="shared" si="5"/>
        <v>11340</v>
      </c>
      <c r="O279" s="24"/>
      <c r="P279" s="76"/>
      <c r="Q279" s="75"/>
      <c r="R279" s="74"/>
      <c r="S279" s="73"/>
    </row>
    <row r="280" spans="1:29" ht="15.75" customHeight="1" thickBot="1">
      <c r="A280" s="33">
        <v>257</v>
      </c>
      <c r="B280" s="62" t="s">
        <v>95</v>
      </c>
      <c r="C280" s="60"/>
      <c r="D280" s="59"/>
      <c r="E280" s="20">
        <v>500</v>
      </c>
      <c r="F280" s="400">
        <v>500</v>
      </c>
      <c r="G280" s="454">
        <v>500</v>
      </c>
      <c r="H280" s="403"/>
      <c r="I280" s="406">
        <v>500</v>
      </c>
      <c r="J280" s="407"/>
      <c r="K280" s="428"/>
      <c r="L280" s="430">
        <v>500</v>
      </c>
      <c r="M280" s="430">
        <v>500</v>
      </c>
      <c r="N280" s="136">
        <f t="shared" si="5"/>
        <v>0</v>
      </c>
      <c r="O280" s="19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</row>
    <row r="281" spans="1:19" ht="13.5">
      <c r="A281" s="33">
        <v>258</v>
      </c>
      <c r="B281" s="62" t="s">
        <v>94</v>
      </c>
      <c r="C281" s="60"/>
      <c r="D281" s="59"/>
      <c r="E281" s="20">
        <v>500</v>
      </c>
      <c r="F281" s="400">
        <v>500</v>
      </c>
      <c r="G281" s="454">
        <v>500</v>
      </c>
      <c r="H281" s="403"/>
      <c r="I281" s="406">
        <v>500</v>
      </c>
      <c r="J281" s="407"/>
      <c r="K281" s="428"/>
      <c r="L281" s="430">
        <v>500</v>
      </c>
      <c r="M281" s="430">
        <v>500</v>
      </c>
      <c r="N281" s="136">
        <f t="shared" si="5"/>
        <v>0</v>
      </c>
      <c r="O281" s="19"/>
      <c r="P281" s="90">
        <v>0</v>
      </c>
      <c r="Q281" s="89">
        <v>0</v>
      </c>
      <c r="R281" s="89">
        <v>0</v>
      </c>
      <c r="S281" s="88">
        <v>0</v>
      </c>
    </row>
    <row r="282" spans="1:19" s="39" customFormat="1" ht="13.5">
      <c r="A282" s="33"/>
      <c r="B282" s="78" t="s">
        <v>93</v>
      </c>
      <c r="C282" s="60"/>
      <c r="D282" s="59"/>
      <c r="E282" s="20">
        <v>0</v>
      </c>
      <c r="F282" s="400"/>
      <c r="G282" s="454">
        <v>0</v>
      </c>
      <c r="H282" s="403"/>
      <c r="I282" s="406">
        <v>15000</v>
      </c>
      <c r="J282" s="407"/>
      <c r="K282" s="428"/>
      <c r="L282" s="430">
        <v>12000</v>
      </c>
      <c r="M282" s="430">
        <f>MHS!C86</f>
        <v>14000</v>
      </c>
      <c r="N282" s="136">
        <f t="shared" si="5"/>
        <v>-2000</v>
      </c>
      <c r="O282" s="24"/>
      <c r="P282" s="87"/>
      <c r="Q282" s="86"/>
      <c r="R282" s="85"/>
      <c r="S282" s="84"/>
    </row>
    <row r="283" spans="1:19" s="80" customFormat="1" ht="13.5">
      <c r="A283" s="33">
        <v>260</v>
      </c>
      <c r="B283" s="78" t="s">
        <v>92</v>
      </c>
      <c r="C283" s="60"/>
      <c r="D283" s="59" t="s">
        <v>34</v>
      </c>
      <c r="E283" s="20">
        <v>60000</v>
      </c>
      <c r="F283" s="400">
        <v>60000</v>
      </c>
      <c r="G283" s="456">
        <v>61800</v>
      </c>
      <c r="H283" s="403"/>
      <c r="I283" s="406">
        <v>63986.149999999994</v>
      </c>
      <c r="J283" s="407"/>
      <c r="K283" s="428"/>
      <c r="L283" s="430">
        <v>65675</v>
      </c>
      <c r="M283" s="430">
        <f>OTHER!C4</f>
        <v>66989</v>
      </c>
      <c r="N283" s="136">
        <f t="shared" si="5"/>
        <v>-1314</v>
      </c>
      <c r="O283" s="24"/>
      <c r="P283" s="83"/>
      <c r="Q283" s="82"/>
      <c r="R283" s="82"/>
      <c r="S283" s="81"/>
    </row>
    <row r="284" spans="1:19" s="28" customFormat="1" ht="13.5">
      <c r="A284" s="33">
        <v>261</v>
      </c>
      <c r="B284" s="62" t="s">
        <v>91</v>
      </c>
      <c r="C284" s="60"/>
      <c r="D284" s="59" t="s">
        <v>34</v>
      </c>
      <c r="E284" s="20">
        <v>0</v>
      </c>
      <c r="F284" s="400">
        <v>0</v>
      </c>
      <c r="G284" s="454">
        <v>1601.65</v>
      </c>
      <c r="H284" s="403"/>
      <c r="I284" s="406">
        <v>1681.7325</v>
      </c>
      <c r="J284" s="407"/>
      <c r="K284" s="428"/>
      <c r="L284" s="656">
        <v>1567</v>
      </c>
      <c r="M284" s="430">
        <f>OTHER!C5</f>
        <v>1599</v>
      </c>
      <c r="N284" s="136">
        <f t="shared" si="5"/>
        <v>-32</v>
      </c>
      <c r="O284" s="24"/>
      <c r="P284" s="38"/>
      <c r="Q284" s="37"/>
      <c r="R284" s="36"/>
      <c r="S284" s="35"/>
    </row>
    <row r="285" spans="1:19" s="28" customFormat="1" ht="13.5">
      <c r="A285" s="33">
        <v>262</v>
      </c>
      <c r="B285" s="62" t="s">
        <v>90</v>
      </c>
      <c r="C285" s="60"/>
      <c r="D285" s="59"/>
      <c r="E285" s="20">
        <v>95000</v>
      </c>
      <c r="F285" s="400">
        <v>30000</v>
      </c>
      <c r="G285" s="454">
        <v>45000</v>
      </c>
      <c r="H285" s="403"/>
      <c r="I285" s="406">
        <v>90000</v>
      </c>
      <c r="J285" s="560"/>
      <c r="K285" s="428">
        <v>-45000</v>
      </c>
      <c r="L285" s="446">
        <v>65000</v>
      </c>
      <c r="M285" s="430">
        <v>65000</v>
      </c>
      <c r="N285" s="136">
        <f t="shared" si="5"/>
        <v>0</v>
      </c>
      <c r="O285" s="24"/>
      <c r="P285" s="38"/>
      <c r="Q285" s="37"/>
      <c r="R285" s="36"/>
      <c r="S285" s="35"/>
    </row>
    <row r="286" spans="1:19" s="39" customFormat="1" ht="13.5" customHeight="1" thickBot="1">
      <c r="A286" s="517">
        <v>263</v>
      </c>
      <c r="B286" s="591" t="s">
        <v>680</v>
      </c>
      <c r="C286" s="16"/>
      <c r="D286" s="79" t="s">
        <v>34</v>
      </c>
      <c r="E286" s="15">
        <v>20256</v>
      </c>
      <c r="F286" s="417">
        <v>12586</v>
      </c>
      <c r="G286" s="458">
        <v>0</v>
      </c>
      <c r="H286" s="409"/>
      <c r="I286" s="583">
        <v>31500</v>
      </c>
      <c r="J286" s="592"/>
      <c r="K286" s="519"/>
      <c r="L286" s="447">
        <v>19456</v>
      </c>
      <c r="M286" s="447">
        <f>MHS!C83</f>
        <v>19456</v>
      </c>
      <c r="N286" s="436">
        <f t="shared" si="5"/>
        <v>0</v>
      </c>
      <c r="O286" s="394"/>
      <c r="P286" s="38"/>
      <c r="Q286" s="37"/>
      <c r="R286" s="36"/>
      <c r="S286" s="35"/>
    </row>
    <row r="287" spans="1:19" s="665" customFormat="1" ht="14.25" customHeight="1" thickBot="1">
      <c r="A287" s="695"/>
      <c r="B287" s="696"/>
      <c r="C287" s="697"/>
      <c r="D287" s="698"/>
      <c r="E287" s="718">
        <v>0</v>
      </c>
      <c r="F287" s="718"/>
      <c r="G287" s="731"/>
      <c r="H287" s="718"/>
      <c r="I287" s="717">
        <v>0</v>
      </c>
      <c r="J287" s="718"/>
      <c r="K287" s="718"/>
      <c r="L287" s="732"/>
      <c r="M287" s="732"/>
      <c r="N287" s="64">
        <f aca="true" t="shared" si="6" ref="N287:N352">SUM(L287-M287)</f>
        <v>0</v>
      </c>
      <c r="O287" s="733"/>
      <c r="P287" s="734"/>
      <c r="Q287" s="735"/>
      <c r="R287" s="736"/>
      <c r="S287" s="737"/>
    </row>
    <row r="288" spans="1:19" s="108" customFormat="1" ht="14.25" thickBot="1">
      <c r="A288" s="490"/>
      <c r="B288" s="491" t="s">
        <v>89</v>
      </c>
      <c r="C288" s="684"/>
      <c r="D288" s="707"/>
      <c r="E288" s="595">
        <v>588715.26</v>
      </c>
      <c r="F288" s="498">
        <v>442363</v>
      </c>
      <c r="G288" s="593">
        <f>SUM(G289:G331)</f>
        <v>309217.12999999995</v>
      </c>
      <c r="H288" s="594"/>
      <c r="I288" s="710">
        <v>534553.8022500001</v>
      </c>
      <c r="J288" s="721"/>
      <c r="K288" s="722">
        <v>0</v>
      </c>
      <c r="L288" s="595">
        <f>SUM(L289:L331)</f>
        <v>267942</v>
      </c>
      <c r="M288" s="595">
        <f>SUM(M289:M331)</f>
        <v>403130</v>
      </c>
      <c r="N288" s="677">
        <f t="shared" si="6"/>
        <v>-135188</v>
      </c>
      <c r="O288" s="738"/>
      <c r="P288" s="739"/>
      <c r="Q288" s="740"/>
      <c r="R288" s="741"/>
      <c r="S288" s="742"/>
    </row>
    <row r="289" spans="1:19" s="666" customFormat="1" ht="13.5">
      <c r="A289" s="150">
        <v>281</v>
      </c>
      <c r="B289" s="559" t="s">
        <v>546</v>
      </c>
      <c r="C289" s="44"/>
      <c r="D289" s="22" t="s">
        <v>34</v>
      </c>
      <c r="E289" s="64">
        <v>89562</v>
      </c>
      <c r="F289" s="418">
        <v>75000</v>
      </c>
      <c r="G289" s="456">
        <v>95641.68000000001</v>
      </c>
      <c r="H289" s="403"/>
      <c r="I289" s="537">
        <v>101079.49724999999</v>
      </c>
      <c r="J289" s="520"/>
      <c r="K289" s="482"/>
      <c r="L289" s="448"/>
      <c r="M289" s="448">
        <f>OTHER!C32</f>
        <v>105000</v>
      </c>
      <c r="N289" s="136">
        <f t="shared" si="6"/>
        <v>-105000</v>
      </c>
      <c r="O289" s="391"/>
      <c r="P289" s="87"/>
      <c r="Q289" s="86"/>
      <c r="R289" s="85"/>
      <c r="S289" s="84"/>
    </row>
    <row r="290" spans="1:19" s="39" customFormat="1" ht="13.5">
      <c r="A290" s="33"/>
      <c r="B290" s="78" t="s">
        <v>777</v>
      </c>
      <c r="C290" s="44"/>
      <c r="D290" s="22"/>
      <c r="E290" s="20">
        <v>5000</v>
      </c>
      <c r="F290" s="400">
        <v>5000</v>
      </c>
      <c r="G290" s="454">
        <v>5000</v>
      </c>
      <c r="H290" s="403"/>
      <c r="I290" s="406">
        <v>5000</v>
      </c>
      <c r="J290" s="407"/>
      <c r="K290" s="428"/>
      <c r="L290" s="430">
        <v>18000</v>
      </c>
      <c r="M290" s="430"/>
      <c r="N290" s="136">
        <f t="shared" si="6"/>
        <v>18000</v>
      </c>
      <c r="O290" s="24"/>
      <c r="P290" s="38"/>
      <c r="Q290" s="37"/>
      <c r="R290" s="36"/>
      <c r="S290" s="35"/>
    </row>
    <row r="291" spans="1:19" s="28" customFormat="1" ht="13.5">
      <c r="A291" s="33">
        <v>283</v>
      </c>
      <c r="B291" s="78" t="s">
        <v>88</v>
      </c>
      <c r="C291" s="44"/>
      <c r="D291" s="22"/>
      <c r="E291" s="20">
        <v>0</v>
      </c>
      <c r="F291" s="400">
        <v>0</v>
      </c>
      <c r="G291" s="454">
        <v>0</v>
      </c>
      <c r="H291" s="403"/>
      <c r="I291" s="406">
        <v>2000</v>
      </c>
      <c r="J291" s="407"/>
      <c r="K291" s="428"/>
      <c r="L291" s="430">
        <v>1340</v>
      </c>
      <c r="M291" s="430"/>
      <c r="N291" s="136">
        <f t="shared" si="6"/>
        <v>1340</v>
      </c>
      <c r="O291" s="24"/>
      <c r="P291" s="38"/>
      <c r="Q291" s="37"/>
      <c r="R291" s="36"/>
      <c r="S291" s="35"/>
    </row>
    <row r="292" spans="1:19" s="28" customFormat="1" ht="13.5">
      <c r="A292" s="33">
        <v>284</v>
      </c>
      <c r="B292" s="103" t="s">
        <v>87</v>
      </c>
      <c r="C292" s="44"/>
      <c r="D292" s="22"/>
      <c r="E292" s="20">
        <v>0</v>
      </c>
      <c r="F292" s="400">
        <v>0</v>
      </c>
      <c r="G292" s="454">
        <v>0</v>
      </c>
      <c r="H292" s="403"/>
      <c r="I292" s="406">
        <v>0</v>
      </c>
      <c r="J292" s="407"/>
      <c r="K292" s="428"/>
      <c r="L292" s="430">
        <v>0</v>
      </c>
      <c r="M292" s="430"/>
      <c r="N292" s="136">
        <f t="shared" si="6"/>
        <v>0</v>
      </c>
      <c r="O292" s="24"/>
      <c r="P292" s="38"/>
      <c r="Q292" s="37"/>
      <c r="R292" s="36"/>
      <c r="S292" s="35"/>
    </row>
    <row r="293" spans="1:19" s="28" customFormat="1" ht="13.5">
      <c r="A293" s="33">
        <v>285</v>
      </c>
      <c r="B293" s="103" t="s">
        <v>86</v>
      </c>
      <c r="C293" s="44"/>
      <c r="D293" s="22"/>
      <c r="E293" s="20">
        <v>20000</v>
      </c>
      <c r="F293" s="400">
        <v>20000</v>
      </c>
      <c r="G293" s="454">
        <v>20000</v>
      </c>
      <c r="H293" s="403"/>
      <c r="I293" s="406">
        <v>20000</v>
      </c>
      <c r="J293" s="407">
        <v>-5000</v>
      </c>
      <c r="K293" s="428"/>
      <c r="L293" s="430">
        <v>30300</v>
      </c>
      <c r="M293" s="430">
        <v>15000</v>
      </c>
      <c r="N293" s="136">
        <f t="shared" si="6"/>
        <v>15300</v>
      </c>
      <c r="O293" s="24"/>
      <c r="P293" s="38"/>
      <c r="Q293" s="37"/>
      <c r="R293" s="36"/>
      <c r="S293" s="35"/>
    </row>
    <row r="294" spans="1:19" s="28" customFormat="1" ht="13.5">
      <c r="A294" s="33">
        <v>286</v>
      </c>
      <c r="B294" s="103" t="s">
        <v>85</v>
      </c>
      <c r="C294" s="44"/>
      <c r="D294" s="22"/>
      <c r="E294" s="20">
        <v>15000</v>
      </c>
      <c r="F294" s="400">
        <v>0</v>
      </c>
      <c r="G294" s="454">
        <v>0</v>
      </c>
      <c r="H294" s="403"/>
      <c r="I294" s="406">
        <v>14577.2</v>
      </c>
      <c r="J294" s="407">
        <v>-14577</v>
      </c>
      <c r="K294" s="428"/>
      <c r="L294" s="430"/>
      <c r="M294" s="430">
        <v>30900</v>
      </c>
      <c r="N294" s="136">
        <f t="shared" si="6"/>
        <v>-30900</v>
      </c>
      <c r="O294" s="24"/>
      <c r="P294" s="38"/>
      <c r="Q294" s="37"/>
      <c r="R294" s="36"/>
      <c r="S294" s="35"/>
    </row>
    <row r="295" spans="1:19" s="28" customFormat="1" ht="13.5">
      <c r="A295" s="33">
        <v>287</v>
      </c>
      <c r="B295" s="103" t="s">
        <v>84</v>
      </c>
      <c r="C295" s="23"/>
      <c r="D295" s="22" t="s">
        <v>34</v>
      </c>
      <c r="E295" s="20">
        <v>0</v>
      </c>
      <c r="F295" s="400">
        <v>0</v>
      </c>
      <c r="G295" s="454">
        <v>15450</v>
      </c>
      <c r="H295" s="403"/>
      <c r="I295" s="406"/>
      <c r="J295" s="407"/>
      <c r="K295" s="428"/>
      <c r="L295" s="430">
        <v>0</v>
      </c>
      <c r="M295" s="430"/>
      <c r="N295" s="136">
        <f t="shared" si="6"/>
        <v>0</v>
      </c>
      <c r="O295" s="24"/>
      <c r="P295" s="38"/>
      <c r="Q295" s="37"/>
      <c r="R295" s="36"/>
      <c r="S295" s="35"/>
    </row>
    <row r="296" spans="1:19" s="28" customFormat="1" ht="13.5">
      <c r="A296" s="33">
        <v>288</v>
      </c>
      <c r="B296" s="103" t="s">
        <v>785</v>
      </c>
      <c r="C296" s="44"/>
      <c r="D296" s="22"/>
      <c r="E296" s="20">
        <v>0</v>
      </c>
      <c r="F296" s="400">
        <v>0</v>
      </c>
      <c r="G296" s="454">
        <v>0</v>
      </c>
      <c r="H296" s="403"/>
      <c r="I296" s="406">
        <v>13000</v>
      </c>
      <c r="J296" s="407"/>
      <c r="K296" s="428"/>
      <c r="L296" s="430">
        <v>13390</v>
      </c>
      <c r="M296" s="430"/>
      <c r="N296" s="136">
        <f t="shared" si="6"/>
        <v>13390</v>
      </c>
      <c r="O296" s="24"/>
      <c r="P296" s="38"/>
      <c r="Q296" s="37"/>
      <c r="R296" s="36"/>
      <c r="S296" s="35"/>
    </row>
    <row r="297" spans="1:19" s="28" customFormat="1" ht="13.5">
      <c r="A297" s="33">
        <v>289</v>
      </c>
      <c r="B297" s="103" t="s">
        <v>83</v>
      </c>
      <c r="C297" s="44"/>
      <c r="D297" s="22" t="s">
        <v>34</v>
      </c>
      <c r="E297" s="20">
        <v>0</v>
      </c>
      <c r="F297" s="400">
        <v>0</v>
      </c>
      <c r="G297" s="454">
        <v>0</v>
      </c>
      <c r="H297" s="403"/>
      <c r="I297" s="406">
        <v>12500</v>
      </c>
      <c r="J297" s="407"/>
      <c r="K297" s="428"/>
      <c r="L297" s="430"/>
      <c r="M297" s="430">
        <v>30000</v>
      </c>
      <c r="N297" s="136">
        <f t="shared" si="6"/>
        <v>-30000</v>
      </c>
      <c r="O297" s="24"/>
      <c r="P297" s="38"/>
      <c r="Q297" s="37"/>
      <c r="R297" s="36"/>
      <c r="S297" s="35"/>
    </row>
    <row r="298" spans="1:19" s="28" customFormat="1" ht="13.5">
      <c r="A298" s="33">
        <v>290</v>
      </c>
      <c r="B298" s="596" t="s">
        <v>82</v>
      </c>
      <c r="C298" s="23"/>
      <c r="D298" s="22"/>
      <c r="E298" s="20">
        <v>0</v>
      </c>
      <c r="F298" s="400">
        <v>0</v>
      </c>
      <c r="G298" s="454">
        <v>0</v>
      </c>
      <c r="H298" s="403"/>
      <c r="I298" s="406">
        <v>0</v>
      </c>
      <c r="J298" s="407"/>
      <c r="K298" s="428"/>
      <c r="L298" s="430">
        <v>0</v>
      </c>
      <c r="M298" s="430"/>
      <c r="N298" s="136">
        <f t="shared" si="6"/>
        <v>0</v>
      </c>
      <c r="O298" s="24"/>
      <c r="P298" s="38"/>
      <c r="Q298" s="37"/>
      <c r="R298" s="36"/>
      <c r="S298" s="35"/>
    </row>
    <row r="299" spans="1:19" s="28" customFormat="1" ht="13.5">
      <c r="A299" s="33">
        <v>291</v>
      </c>
      <c r="B299" s="144" t="s">
        <v>81</v>
      </c>
      <c r="C299" s="23"/>
      <c r="D299" s="22"/>
      <c r="E299" s="20">
        <v>35000</v>
      </c>
      <c r="F299" s="400">
        <v>33087</v>
      </c>
      <c r="G299" s="454">
        <v>24000</v>
      </c>
      <c r="H299" s="403"/>
      <c r="I299" s="587">
        <v>24000</v>
      </c>
      <c r="J299" s="407"/>
      <c r="K299" s="428"/>
      <c r="L299" s="430">
        <v>54000</v>
      </c>
      <c r="M299" s="430">
        <v>34000</v>
      </c>
      <c r="N299" s="136">
        <f t="shared" si="6"/>
        <v>20000</v>
      </c>
      <c r="O299" s="24"/>
      <c r="P299" s="38"/>
      <c r="Q299" s="37"/>
      <c r="R299" s="36"/>
      <c r="S299" s="35"/>
    </row>
    <row r="300" spans="1:19" s="28" customFormat="1" ht="13.5">
      <c r="A300" s="33">
        <v>292</v>
      </c>
      <c r="B300" s="525" t="s">
        <v>80</v>
      </c>
      <c r="C300" s="23"/>
      <c r="D300" s="22"/>
      <c r="E300" s="20">
        <v>44211</v>
      </c>
      <c r="F300" s="400">
        <v>42587</v>
      </c>
      <c r="G300" s="456">
        <v>24500</v>
      </c>
      <c r="H300" s="403"/>
      <c r="I300" s="406">
        <v>24500</v>
      </c>
      <c r="J300" s="407"/>
      <c r="K300" s="428"/>
      <c r="L300" s="430">
        <v>30400</v>
      </c>
      <c r="M300" s="430">
        <f>OTHER!C2</f>
        <v>35593</v>
      </c>
      <c r="N300" s="136">
        <f t="shared" si="6"/>
        <v>-5193</v>
      </c>
      <c r="O300" s="24"/>
      <c r="P300" s="38"/>
      <c r="Q300" s="37"/>
      <c r="R300" s="36"/>
      <c r="S300" s="35"/>
    </row>
    <row r="301" spans="1:19" s="28" customFormat="1" ht="13.5">
      <c r="A301" s="33" t="s">
        <v>79</v>
      </c>
      <c r="B301" s="103" t="s">
        <v>78</v>
      </c>
      <c r="C301" s="23"/>
      <c r="D301" s="22"/>
      <c r="E301" s="20">
        <v>2000</v>
      </c>
      <c r="F301" s="400">
        <v>2000</v>
      </c>
      <c r="G301" s="456">
        <v>0</v>
      </c>
      <c r="H301" s="403"/>
      <c r="I301" s="406">
        <v>2000</v>
      </c>
      <c r="J301" s="407">
        <v>-2000</v>
      </c>
      <c r="K301" s="428"/>
      <c r="L301" s="430">
        <v>0</v>
      </c>
      <c r="M301" s="430"/>
      <c r="N301" s="136">
        <f t="shared" si="6"/>
        <v>0</v>
      </c>
      <c r="O301" s="19"/>
      <c r="P301" s="38"/>
      <c r="Q301" s="37"/>
      <c r="R301" s="36"/>
      <c r="S301" s="35"/>
    </row>
    <row r="302" spans="1:19" s="28" customFormat="1" ht="13.5">
      <c r="A302" s="33" t="s">
        <v>77</v>
      </c>
      <c r="B302" s="103" t="s">
        <v>684</v>
      </c>
      <c r="C302" s="23"/>
      <c r="D302" s="22"/>
      <c r="E302" s="20">
        <v>2500</v>
      </c>
      <c r="F302" s="400">
        <v>2500</v>
      </c>
      <c r="G302" s="454">
        <v>0</v>
      </c>
      <c r="H302" s="403"/>
      <c r="I302" s="406">
        <v>2500</v>
      </c>
      <c r="J302" s="407">
        <v>-2500</v>
      </c>
      <c r="K302" s="428"/>
      <c r="L302" s="430">
        <v>0</v>
      </c>
      <c r="M302" s="430"/>
      <c r="N302" s="136">
        <f t="shared" si="6"/>
        <v>0</v>
      </c>
      <c r="O302" s="19"/>
      <c r="P302" s="38"/>
      <c r="Q302" s="37"/>
      <c r="R302" s="36"/>
      <c r="S302" s="35"/>
    </row>
    <row r="303" spans="1:19" s="28" customFormat="1" ht="13.5">
      <c r="A303" s="33" t="s">
        <v>76</v>
      </c>
      <c r="B303" s="103" t="s">
        <v>685</v>
      </c>
      <c r="C303" s="23"/>
      <c r="D303" s="22"/>
      <c r="E303" s="20">
        <v>2500</v>
      </c>
      <c r="F303" s="400">
        <v>2500</v>
      </c>
      <c r="G303" s="454">
        <v>0</v>
      </c>
      <c r="H303" s="403"/>
      <c r="I303" s="406">
        <v>2500</v>
      </c>
      <c r="J303" s="407">
        <v>-2500</v>
      </c>
      <c r="K303" s="428"/>
      <c r="L303" s="430">
        <v>0</v>
      </c>
      <c r="M303" s="430"/>
      <c r="N303" s="136">
        <f t="shared" si="6"/>
        <v>0</v>
      </c>
      <c r="O303" s="19"/>
      <c r="P303" s="38"/>
      <c r="Q303" s="37"/>
      <c r="R303" s="36"/>
      <c r="S303" s="35"/>
    </row>
    <row r="304" spans="1:19" s="28" customFormat="1" ht="13.5">
      <c r="A304" s="33" t="s">
        <v>75</v>
      </c>
      <c r="B304" s="103" t="s">
        <v>686</v>
      </c>
      <c r="C304" s="23"/>
      <c r="D304" s="22"/>
      <c r="E304" s="20">
        <v>2500</v>
      </c>
      <c r="F304" s="400">
        <v>2500</v>
      </c>
      <c r="G304" s="454">
        <v>0</v>
      </c>
      <c r="H304" s="403"/>
      <c r="I304" s="406">
        <v>2500</v>
      </c>
      <c r="J304" s="407">
        <v>-2500</v>
      </c>
      <c r="K304" s="428"/>
      <c r="L304" s="430">
        <v>0</v>
      </c>
      <c r="M304" s="430"/>
      <c r="N304" s="136">
        <f t="shared" si="6"/>
        <v>0</v>
      </c>
      <c r="O304" s="19"/>
      <c r="P304" s="38"/>
      <c r="Q304" s="37"/>
      <c r="R304" s="36"/>
      <c r="S304" s="35"/>
    </row>
    <row r="305" spans="1:19" s="28" customFormat="1" ht="13.5">
      <c r="A305" s="524" t="s">
        <v>74</v>
      </c>
      <c r="B305" s="525" t="s">
        <v>73</v>
      </c>
      <c r="C305" s="23"/>
      <c r="D305" s="22"/>
      <c r="E305" s="20">
        <v>16453</v>
      </c>
      <c r="F305" s="400">
        <v>0</v>
      </c>
      <c r="G305" s="454">
        <v>0</v>
      </c>
      <c r="H305" s="403"/>
      <c r="I305" s="406">
        <v>16453</v>
      </c>
      <c r="J305" s="407">
        <v>-16453</v>
      </c>
      <c r="K305" s="428"/>
      <c r="L305" s="430">
        <v>0</v>
      </c>
      <c r="M305" s="430"/>
      <c r="N305" s="136">
        <f t="shared" si="6"/>
        <v>0</v>
      </c>
      <c r="O305" s="24"/>
      <c r="P305" s="38"/>
      <c r="Q305" s="37"/>
      <c r="R305" s="36"/>
      <c r="S305" s="35"/>
    </row>
    <row r="306" spans="1:19" s="28" customFormat="1" ht="13.5">
      <c r="A306" s="524" t="s">
        <v>72</v>
      </c>
      <c r="B306" s="119" t="s">
        <v>71</v>
      </c>
      <c r="C306" s="23"/>
      <c r="D306" s="22"/>
      <c r="E306" s="20">
        <v>48096</v>
      </c>
      <c r="F306" s="400">
        <v>0</v>
      </c>
      <c r="G306" s="454">
        <v>0</v>
      </c>
      <c r="H306" s="403"/>
      <c r="I306" s="406">
        <v>21982</v>
      </c>
      <c r="J306" s="407">
        <v>-21982</v>
      </c>
      <c r="K306" s="428"/>
      <c r="L306" s="430">
        <v>0</v>
      </c>
      <c r="M306" s="430"/>
      <c r="N306" s="136">
        <f t="shared" si="6"/>
        <v>0</v>
      </c>
      <c r="O306" s="24"/>
      <c r="P306" s="38"/>
      <c r="Q306" s="37"/>
      <c r="R306" s="36"/>
      <c r="S306" s="35"/>
    </row>
    <row r="307" spans="1:19" s="28" customFormat="1" ht="13.5">
      <c r="A307" s="33" t="s">
        <v>70</v>
      </c>
      <c r="B307" s="103" t="s">
        <v>69</v>
      </c>
      <c r="C307" s="23"/>
      <c r="D307" s="22"/>
      <c r="E307" s="20">
        <v>1251</v>
      </c>
      <c r="F307" s="400">
        <v>1251</v>
      </c>
      <c r="G307" s="454">
        <v>0</v>
      </c>
      <c r="H307" s="403"/>
      <c r="I307" s="406">
        <v>1251</v>
      </c>
      <c r="J307" s="407">
        <v>-1251</v>
      </c>
      <c r="K307" s="428"/>
      <c r="L307" s="430">
        <v>0</v>
      </c>
      <c r="M307" s="430"/>
      <c r="N307" s="136">
        <f t="shared" si="6"/>
        <v>0</v>
      </c>
      <c r="O307" s="24"/>
      <c r="P307" s="38"/>
      <c r="Q307" s="37"/>
      <c r="R307" s="36"/>
      <c r="S307" s="35"/>
    </row>
    <row r="308" spans="1:19" s="28" customFormat="1" ht="13.5">
      <c r="A308" s="33" t="s">
        <v>68</v>
      </c>
      <c r="B308" s="103" t="s">
        <v>687</v>
      </c>
      <c r="C308" s="23"/>
      <c r="D308" s="22"/>
      <c r="E308" s="20">
        <v>7518</v>
      </c>
      <c r="F308" s="400">
        <v>2518</v>
      </c>
      <c r="G308" s="454">
        <v>0</v>
      </c>
      <c r="H308" s="403"/>
      <c r="I308" s="406">
        <v>2500</v>
      </c>
      <c r="J308" s="407">
        <v>-2500</v>
      </c>
      <c r="K308" s="428"/>
      <c r="L308" s="430">
        <v>0</v>
      </c>
      <c r="M308" s="430"/>
      <c r="N308" s="136">
        <f t="shared" si="6"/>
        <v>0</v>
      </c>
      <c r="O308" s="24"/>
      <c r="P308" s="38"/>
      <c r="Q308" s="37"/>
      <c r="R308" s="36"/>
      <c r="S308" s="35"/>
    </row>
    <row r="309" spans="1:19" s="28" customFormat="1" ht="13.5">
      <c r="A309" s="33" t="s">
        <v>67</v>
      </c>
      <c r="B309" s="103" t="s">
        <v>688</v>
      </c>
      <c r="C309" s="23"/>
      <c r="D309" s="22"/>
      <c r="E309" s="20">
        <v>7518</v>
      </c>
      <c r="F309" s="400">
        <v>2518</v>
      </c>
      <c r="G309" s="454">
        <v>0</v>
      </c>
      <c r="H309" s="403"/>
      <c r="I309" s="406">
        <v>7893.900000000001</v>
      </c>
      <c r="J309" s="407">
        <v>-7893.900000000001</v>
      </c>
      <c r="K309" s="428"/>
      <c r="L309" s="430">
        <v>0</v>
      </c>
      <c r="M309" s="430"/>
      <c r="N309" s="136">
        <f t="shared" si="6"/>
        <v>0</v>
      </c>
      <c r="O309" s="24"/>
      <c r="P309" s="38"/>
      <c r="Q309" s="37"/>
      <c r="R309" s="36"/>
      <c r="S309" s="35"/>
    </row>
    <row r="310" spans="1:19" s="28" customFormat="1" ht="13.5">
      <c r="A310" s="33" t="s">
        <v>66</v>
      </c>
      <c r="B310" s="103" t="s">
        <v>689</v>
      </c>
      <c r="C310" s="23"/>
      <c r="D310" s="22"/>
      <c r="E310" s="20">
        <v>7518</v>
      </c>
      <c r="F310" s="400">
        <v>2518</v>
      </c>
      <c r="G310" s="454">
        <v>0</v>
      </c>
      <c r="H310" s="403"/>
      <c r="I310" s="406">
        <v>7893.900000000001</v>
      </c>
      <c r="J310" s="407">
        <v>-7893.900000000001</v>
      </c>
      <c r="K310" s="428"/>
      <c r="L310" s="430">
        <v>0</v>
      </c>
      <c r="M310" s="430"/>
      <c r="N310" s="136">
        <f t="shared" si="6"/>
        <v>0</v>
      </c>
      <c r="O310" s="24"/>
      <c r="P310" s="38"/>
      <c r="Q310" s="37"/>
      <c r="R310" s="36"/>
      <c r="S310" s="35"/>
    </row>
    <row r="311" spans="1:19" s="45" customFormat="1" ht="13.5">
      <c r="A311" s="33">
        <v>296</v>
      </c>
      <c r="B311" s="103" t="s">
        <v>65</v>
      </c>
      <c r="C311" s="23"/>
      <c r="D311" s="22"/>
      <c r="E311" s="20">
        <v>6000</v>
      </c>
      <c r="F311" s="400">
        <v>6000</v>
      </c>
      <c r="G311" s="454">
        <v>6000</v>
      </c>
      <c r="H311" s="403"/>
      <c r="I311" s="406">
        <v>6000</v>
      </c>
      <c r="J311" s="407"/>
      <c r="K311" s="428"/>
      <c r="L311" s="430">
        <v>6000</v>
      </c>
      <c r="M311" s="430">
        <v>6000</v>
      </c>
      <c r="N311" s="136">
        <f t="shared" si="6"/>
        <v>0</v>
      </c>
      <c r="O311" s="24"/>
      <c r="P311" s="94"/>
      <c r="Q311" s="93"/>
      <c r="R311" s="93"/>
      <c r="S311" s="92"/>
    </row>
    <row r="312" spans="1:19" s="28" customFormat="1" ht="13.5">
      <c r="A312" s="524" t="s">
        <v>64</v>
      </c>
      <c r="B312" s="596" t="s">
        <v>63</v>
      </c>
      <c r="C312" s="23"/>
      <c r="D312" s="22"/>
      <c r="E312" s="20"/>
      <c r="F312" s="400">
        <v>0</v>
      </c>
      <c r="G312" s="454">
        <v>0</v>
      </c>
      <c r="H312" s="403"/>
      <c r="I312" s="406">
        <v>0</v>
      </c>
      <c r="J312" s="407"/>
      <c r="K312" s="428"/>
      <c r="L312" s="430">
        <v>0</v>
      </c>
      <c r="M312" s="430"/>
      <c r="N312" s="136">
        <f t="shared" si="6"/>
        <v>0</v>
      </c>
      <c r="O312" s="24"/>
      <c r="P312" s="38"/>
      <c r="Q312" s="37"/>
      <c r="R312" s="36"/>
      <c r="S312" s="35"/>
    </row>
    <row r="313" spans="1:19" s="28" customFormat="1" ht="13.5">
      <c r="A313" s="524" t="s">
        <v>62</v>
      </c>
      <c r="B313" s="78" t="s">
        <v>690</v>
      </c>
      <c r="C313" s="23"/>
      <c r="D313" s="22"/>
      <c r="E313" s="20">
        <v>0</v>
      </c>
      <c r="F313" s="400">
        <v>0</v>
      </c>
      <c r="G313" s="454">
        <v>0</v>
      </c>
      <c r="H313" s="403"/>
      <c r="I313" s="406">
        <v>2600</v>
      </c>
      <c r="J313" s="407">
        <v>-2600</v>
      </c>
      <c r="K313" s="428"/>
      <c r="L313" s="430">
        <v>0</v>
      </c>
      <c r="M313" s="430"/>
      <c r="N313" s="136">
        <f t="shared" si="6"/>
        <v>0</v>
      </c>
      <c r="O313" s="24"/>
      <c r="P313" s="38"/>
      <c r="Q313" s="37"/>
      <c r="R313" s="36"/>
      <c r="S313" s="35"/>
    </row>
    <row r="314" spans="1:19" s="28" customFormat="1" ht="13.5">
      <c r="A314" s="524" t="s">
        <v>61</v>
      </c>
      <c r="B314" s="78" t="s">
        <v>691</v>
      </c>
      <c r="C314" s="23"/>
      <c r="D314" s="22"/>
      <c r="E314" s="20">
        <v>0</v>
      </c>
      <c r="F314" s="400">
        <v>0</v>
      </c>
      <c r="G314" s="454">
        <v>0</v>
      </c>
      <c r="H314" s="403"/>
      <c r="I314" s="406">
        <v>0</v>
      </c>
      <c r="J314" s="407"/>
      <c r="K314" s="428"/>
      <c r="L314" s="430">
        <v>0</v>
      </c>
      <c r="M314" s="430">
        <v>0</v>
      </c>
      <c r="N314" s="136">
        <f t="shared" si="6"/>
        <v>0</v>
      </c>
      <c r="O314" s="24"/>
      <c r="P314" s="38"/>
      <c r="Q314" s="37"/>
      <c r="R314" s="36"/>
      <c r="S314" s="35"/>
    </row>
    <row r="315" spans="1:19" s="28" customFormat="1" ht="13.5">
      <c r="A315" s="524" t="s">
        <v>60</v>
      </c>
      <c r="B315" s="78" t="s">
        <v>692</v>
      </c>
      <c r="C315" s="23"/>
      <c r="D315" s="22"/>
      <c r="E315" s="20">
        <v>9000</v>
      </c>
      <c r="F315" s="400">
        <v>9000</v>
      </c>
      <c r="G315" s="454">
        <v>0</v>
      </c>
      <c r="H315" s="403"/>
      <c r="I315" s="406">
        <v>9000</v>
      </c>
      <c r="J315" s="407">
        <v>-9000</v>
      </c>
      <c r="K315" s="428"/>
      <c r="L315" s="430">
        <v>0</v>
      </c>
      <c r="M315" s="430"/>
      <c r="N315" s="136">
        <f t="shared" si="6"/>
        <v>0</v>
      </c>
      <c r="O315" s="24"/>
      <c r="P315" s="38"/>
      <c r="Q315" s="37"/>
      <c r="R315" s="36"/>
      <c r="S315" s="35"/>
    </row>
    <row r="316" spans="1:19" s="28" customFormat="1" ht="13.5">
      <c r="A316" s="524" t="s">
        <v>59</v>
      </c>
      <c r="B316" s="78" t="s">
        <v>58</v>
      </c>
      <c r="C316" s="23"/>
      <c r="D316" s="22"/>
      <c r="E316" s="20">
        <v>0</v>
      </c>
      <c r="F316" s="400">
        <v>0</v>
      </c>
      <c r="G316" s="454">
        <v>0</v>
      </c>
      <c r="H316" s="403"/>
      <c r="I316" s="406">
        <v>2786</v>
      </c>
      <c r="J316" s="407">
        <v>-2786</v>
      </c>
      <c r="K316" s="428"/>
      <c r="L316" s="430">
        <v>0</v>
      </c>
      <c r="M316" s="430"/>
      <c r="N316" s="136">
        <f t="shared" si="6"/>
        <v>0</v>
      </c>
      <c r="O316" s="24"/>
      <c r="P316" s="38"/>
      <c r="Q316" s="37"/>
      <c r="R316" s="36"/>
      <c r="S316" s="35"/>
    </row>
    <row r="317" spans="1:19" s="28" customFormat="1" ht="13.5">
      <c r="A317" s="524" t="s">
        <v>57</v>
      </c>
      <c r="B317" s="78" t="s">
        <v>693</v>
      </c>
      <c r="C317" s="23"/>
      <c r="D317" s="22"/>
      <c r="E317" s="20">
        <v>0</v>
      </c>
      <c r="F317" s="400">
        <v>0</v>
      </c>
      <c r="G317" s="454">
        <v>0</v>
      </c>
      <c r="H317" s="403"/>
      <c r="I317" s="406">
        <v>2400</v>
      </c>
      <c r="J317" s="407">
        <v>-2400</v>
      </c>
      <c r="K317" s="428"/>
      <c r="L317" s="430">
        <v>0</v>
      </c>
      <c r="M317" s="430"/>
      <c r="N317" s="136">
        <f t="shared" si="6"/>
        <v>0</v>
      </c>
      <c r="O317" s="24"/>
      <c r="P317" s="38"/>
      <c r="Q317" s="37"/>
      <c r="R317" s="36"/>
      <c r="S317" s="35"/>
    </row>
    <row r="318" spans="1:19" s="28" customFormat="1" ht="13.5">
      <c r="A318" s="524" t="s">
        <v>56</v>
      </c>
      <c r="B318" s="78" t="s">
        <v>694</v>
      </c>
      <c r="C318" s="23"/>
      <c r="D318" s="22"/>
      <c r="E318" s="20">
        <v>0</v>
      </c>
      <c r="F318" s="400">
        <v>0</v>
      </c>
      <c r="G318" s="454">
        <v>0</v>
      </c>
      <c r="H318" s="403"/>
      <c r="I318" s="406">
        <v>0</v>
      </c>
      <c r="J318" s="407"/>
      <c r="K318" s="428"/>
      <c r="L318" s="430">
        <v>0</v>
      </c>
      <c r="M318" s="430"/>
      <c r="N318" s="136">
        <f t="shared" si="6"/>
        <v>0</v>
      </c>
      <c r="O318" s="24"/>
      <c r="P318" s="38"/>
      <c r="Q318" s="37"/>
      <c r="R318" s="36"/>
      <c r="S318" s="35"/>
    </row>
    <row r="319" spans="1:19" s="28" customFormat="1" ht="13.5">
      <c r="A319" s="524" t="s">
        <v>55</v>
      </c>
      <c r="B319" s="78" t="s">
        <v>695</v>
      </c>
      <c r="C319" s="23"/>
      <c r="D319" s="22"/>
      <c r="E319" s="20">
        <v>0</v>
      </c>
      <c r="F319" s="400">
        <v>0</v>
      </c>
      <c r="G319" s="454">
        <v>0</v>
      </c>
      <c r="H319" s="403"/>
      <c r="I319" s="406">
        <v>45000</v>
      </c>
      <c r="J319" s="407">
        <v>-45000</v>
      </c>
      <c r="K319" s="428"/>
      <c r="L319" s="430">
        <v>0</v>
      </c>
      <c r="M319" s="430"/>
      <c r="N319" s="136">
        <f t="shared" si="6"/>
        <v>0</v>
      </c>
      <c r="O319" s="24"/>
      <c r="P319" s="38"/>
      <c r="Q319" s="37"/>
      <c r="R319" s="36"/>
      <c r="S319" s="35"/>
    </row>
    <row r="320" spans="1:19" s="28" customFormat="1" ht="13.5">
      <c r="A320" s="33">
        <v>298</v>
      </c>
      <c r="B320" s="78" t="s">
        <v>54</v>
      </c>
      <c r="C320" s="23"/>
      <c r="D320" s="22"/>
      <c r="E320" s="20">
        <v>32985</v>
      </c>
      <c r="F320" s="400">
        <v>31958</v>
      </c>
      <c r="G320" s="454">
        <v>0</v>
      </c>
      <c r="H320" s="403"/>
      <c r="I320" s="406">
        <v>32985</v>
      </c>
      <c r="J320" s="407">
        <v>-32985</v>
      </c>
      <c r="K320" s="428"/>
      <c r="L320" s="430">
        <v>0</v>
      </c>
      <c r="M320" s="430"/>
      <c r="N320" s="136">
        <f t="shared" si="6"/>
        <v>0</v>
      </c>
      <c r="O320" s="24"/>
      <c r="P320" s="38"/>
      <c r="Q320" s="37"/>
      <c r="R320" s="36"/>
      <c r="S320" s="35"/>
    </row>
    <row r="321" spans="1:19" s="28" customFormat="1" ht="13.5">
      <c r="A321" s="33">
        <v>299</v>
      </c>
      <c r="B321" s="62" t="s">
        <v>53</v>
      </c>
      <c r="C321" s="23"/>
      <c r="D321" s="22"/>
      <c r="E321" s="20">
        <v>10000</v>
      </c>
      <c r="F321" s="400">
        <v>0</v>
      </c>
      <c r="G321" s="454">
        <v>0</v>
      </c>
      <c r="H321" s="403"/>
      <c r="I321" s="406">
        <v>10000</v>
      </c>
      <c r="J321" s="407">
        <v>-10000</v>
      </c>
      <c r="K321" s="428"/>
      <c r="L321" s="430">
        <v>0</v>
      </c>
      <c r="M321" s="430"/>
      <c r="N321" s="136">
        <f t="shared" si="6"/>
        <v>0</v>
      </c>
      <c r="O321" s="24"/>
      <c r="P321" s="38"/>
      <c r="Q321" s="37"/>
      <c r="R321" s="36"/>
      <c r="S321" s="35"/>
    </row>
    <row r="322" spans="1:19" s="28" customFormat="1" ht="13.5">
      <c r="A322" s="33">
        <v>300</v>
      </c>
      <c r="B322" s="62" t="s">
        <v>52</v>
      </c>
      <c r="C322" s="23"/>
      <c r="D322" s="22"/>
      <c r="E322" s="20">
        <v>0</v>
      </c>
      <c r="F322" s="400">
        <v>0</v>
      </c>
      <c r="G322" s="454">
        <v>0</v>
      </c>
      <c r="H322" s="403"/>
      <c r="I322" s="406">
        <v>0</v>
      </c>
      <c r="J322" s="407"/>
      <c r="K322" s="428"/>
      <c r="L322" s="430">
        <v>0</v>
      </c>
      <c r="M322" s="430"/>
      <c r="N322" s="136">
        <f t="shared" si="6"/>
        <v>0</v>
      </c>
      <c r="O322" s="24"/>
      <c r="P322" s="38"/>
      <c r="Q322" s="37"/>
      <c r="R322" s="36"/>
      <c r="S322" s="35"/>
    </row>
    <row r="323" spans="1:19" s="28" customFormat="1" ht="13.5">
      <c r="A323" s="33">
        <v>301</v>
      </c>
      <c r="B323" s="62" t="s">
        <v>51</v>
      </c>
      <c r="C323" s="23"/>
      <c r="D323" s="22"/>
      <c r="E323" s="20">
        <v>250</v>
      </c>
      <c r="F323" s="400">
        <v>250</v>
      </c>
      <c r="G323" s="454">
        <v>250</v>
      </c>
      <c r="H323" s="403"/>
      <c r="I323" s="406">
        <v>250</v>
      </c>
      <c r="J323" s="407"/>
      <c r="K323" s="428"/>
      <c r="L323" s="430">
        <v>250</v>
      </c>
      <c r="M323" s="430">
        <v>250</v>
      </c>
      <c r="N323" s="136">
        <f t="shared" si="6"/>
        <v>0</v>
      </c>
      <c r="O323" s="24"/>
      <c r="P323" s="38"/>
      <c r="Q323" s="37"/>
      <c r="R323" s="36"/>
      <c r="S323" s="35"/>
    </row>
    <row r="324" spans="1:19" ht="14.25" thickBot="1">
      <c r="A324" s="33">
        <v>302</v>
      </c>
      <c r="B324" s="62" t="s">
        <v>50</v>
      </c>
      <c r="C324" s="23"/>
      <c r="D324" s="22" t="s">
        <v>34</v>
      </c>
      <c r="E324" s="20">
        <v>35190</v>
      </c>
      <c r="F324" s="400">
        <v>40000</v>
      </c>
      <c r="G324" s="454">
        <v>36441.4</v>
      </c>
      <c r="H324" s="403"/>
      <c r="I324" s="406">
        <v>36528.255</v>
      </c>
      <c r="J324" s="407"/>
      <c r="K324" s="428"/>
      <c r="L324" s="430">
        <v>36256</v>
      </c>
      <c r="M324" s="430">
        <f>OTHER!C24</f>
        <v>47106</v>
      </c>
      <c r="N324" s="136">
        <f t="shared" si="6"/>
        <v>-10850</v>
      </c>
      <c r="O324" s="24"/>
      <c r="P324" s="76"/>
      <c r="Q324" s="75"/>
      <c r="R324" s="74"/>
      <c r="S324" s="73"/>
    </row>
    <row r="325" spans="1:15" ht="15.75" customHeight="1" thickBot="1">
      <c r="A325" s="33" t="s">
        <v>49</v>
      </c>
      <c r="B325" s="62" t="s">
        <v>48</v>
      </c>
      <c r="C325" s="23"/>
      <c r="D325" s="22" t="s">
        <v>34</v>
      </c>
      <c r="E325" s="20"/>
      <c r="F325" s="400">
        <v>0</v>
      </c>
      <c r="G325" s="454">
        <v>0</v>
      </c>
      <c r="H325" s="403"/>
      <c r="I325" s="406">
        <v>0</v>
      </c>
      <c r="J325" s="407"/>
      <c r="K325" s="428"/>
      <c r="L325" s="430">
        <v>0</v>
      </c>
      <c r="M325" s="430"/>
      <c r="N325" s="136">
        <f t="shared" si="6"/>
        <v>0</v>
      </c>
      <c r="O325" s="24"/>
    </row>
    <row r="326" spans="1:19" ht="14.25" thickBot="1">
      <c r="A326" s="33">
        <v>303</v>
      </c>
      <c r="B326" s="62" t="s">
        <v>47</v>
      </c>
      <c r="C326" s="23"/>
      <c r="D326" s="22"/>
      <c r="E326" s="20">
        <v>27000</v>
      </c>
      <c r="F326" s="400">
        <v>0</v>
      </c>
      <c r="G326" s="454">
        <v>0</v>
      </c>
      <c r="H326" s="403"/>
      <c r="I326" s="406">
        <v>27000</v>
      </c>
      <c r="J326" s="407">
        <v>-27000</v>
      </c>
      <c r="K326" s="428"/>
      <c r="L326" s="430">
        <v>0</v>
      </c>
      <c r="M326" s="430"/>
      <c r="N326" s="136">
        <f t="shared" si="6"/>
        <v>0</v>
      </c>
      <c r="O326" s="24"/>
      <c r="P326" s="72"/>
      <c r="Q326" s="71"/>
      <c r="R326" s="71"/>
      <c r="S326" s="70"/>
    </row>
    <row r="327" spans="1:19" s="28" customFormat="1" ht="13.5">
      <c r="A327" s="33" t="s">
        <v>776</v>
      </c>
      <c r="B327" s="62" t="s">
        <v>46</v>
      </c>
      <c r="C327" s="23"/>
      <c r="D327" s="22" t="s">
        <v>34</v>
      </c>
      <c r="E327" s="20">
        <v>55000</v>
      </c>
      <c r="F327" s="400">
        <v>50000</v>
      </c>
      <c r="G327" s="454">
        <v>58710</v>
      </c>
      <c r="H327" s="403"/>
      <c r="I327" s="406">
        <v>55650</v>
      </c>
      <c r="J327" s="407"/>
      <c r="K327" s="428"/>
      <c r="L327" s="430">
        <v>60471</v>
      </c>
      <c r="M327" s="430">
        <f>OTHER!C23</f>
        <v>62285</v>
      </c>
      <c r="N327" s="136">
        <f t="shared" si="6"/>
        <v>-1814</v>
      </c>
      <c r="O327" s="24"/>
      <c r="P327" s="69"/>
      <c r="Q327" s="68"/>
      <c r="R327" s="68"/>
      <c r="S327" s="67"/>
    </row>
    <row r="328" spans="1:19" s="39" customFormat="1" ht="13.5">
      <c r="A328" s="33" t="s">
        <v>45</v>
      </c>
      <c r="B328" s="62" t="s">
        <v>44</v>
      </c>
      <c r="C328" s="23"/>
      <c r="D328" s="22" t="s">
        <v>34</v>
      </c>
      <c r="E328" s="20">
        <v>7500</v>
      </c>
      <c r="F328" s="400">
        <v>7500</v>
      </c>
      <c r="G328" s="454">
        <v>20224.05</v>
      </c>
      <c r="H328" s="403"/>
      <c r="I328" s="406">
        <v>20224.05</v>
      </c>
      <c r="J328" s="407">
        <v>-12000</v>
      </c>
      <c r="K328" s="428"/>
      <c r="L328" s="430">
        <v>17035</v>
      </c>
      <c r="M328" s="430">
        <f>OTHER!F26</f>
        <v>35496</v>
      </c>
      <c r="N328" s="136">
        <f t="shared" si="6"/>
        <v>-18461</v>
      </c>
      <c r="O328" s="24"/>
      <c r="P328" s="42"/>
      <c r="Q328" s="41"/>
      <c r="R328" s="41"/>
      <c r="S328" s="40"/>
    </row>
    <row r="329" spans="1:19" s="39" customFormat="1" ht="13.5">
      <c r="A329" s="524">
        <v>304</v>
      </c>
      <c r="B329" s="62" t="s">
        <v>43</v>
      </c>
      <c r="C329" s="23"/>
      <c r="D329" s="22" t="s">
        <v>34</v>
      </c>
      <c r="E329" s="20">
        <v>71010.26</v>
      </c>
      <c r="F329" s="400">
        <v>70676</v>
      </c>
      <c r="G329" s="454">
        <v>0</v>
      </c>
      <c r="H329" s="403"/>
      <c r="I329" s="406"/>
      <c r="J329" s="407"/>
      <c r="K329" s="428"/>
      <c r="L329" s="430">
        <v>0</v>
      </c>
      <c r="M329" s="430"/>
      <c r="N329" s="136">
        <f t="shared" si="6"/>
        <v>0</v>
      </c>
      <c r="O329" s="24"/>
      <c r="P329" s="42"/>
      <c r="Q329" s="41"/>
      <c r="R329" s="41"/>
      <c r="S329" s="40"/>
    </row>
    <row r="330" spans="1:19" s="39" customFormat="1" ht="13.5">
      <c r="A330" s="524">
        <v>305</v>
      </c>
      <c r="B330" s="62" t="s">
        <v>42</v>
      </c>
      <c r="C330" s="23"/>
      <c r="D330" s="22" t="s">
        <v>34</v>
      </c>
      <c r="E330" s="20">
        <v>34155</v>
      </c>
      <c r="F330" s="400">
        <v>33000</v>
      </c>
      <c r="G330" s="454">
        <v>0</v>
      </c>
      <c r="H330" s="403"/>
      <c r="I330" s="406">
        <v>0</v>
      </c>
      <c r="J330" s="407"/>
      <c r="K330" s="428"/>
      <c r="L330" s="430">
        <v>0</v>
      </c>
      <c r="M330" s="430"/>
      <c r="N330" s="136">
        <f t="shared" si="6"/>
        <v>0</v>
      </c>
      <c r="O330" s="24"/>
      <c r="P330" s="42"/>
      <c r="Q330" s="41"/>
      <c r="R330" s="41"/>
      <c r="S330" s="40"/>
    </row>
    <row r="331" spans="1:19" s="39" customFormat="1" ht="14.25" thickBot="1">
      <c r="A331" s="597">
        <v>306</v>
      </c>
      <c r="B331" s="876" t="s">
        <v>847</v>
      </c>
      <c r="C331" s="66"/>
      <c r="D331" s="17"/>
      <c r="E331" s="15">
        <v>8560</v>
      </c>
      <c r="F331" s="417">
        <v>0</v>
      </c>
      <c r="G331" s="458">
        <v>3000</v>
      </c>
      <c r="H331" s="409"/>
      <c r="I331" s="483"/>
      <c r="J331" s="877"/>
      <c r="K331" s="484"/>
      <c r="L331" s="447">
        <v>500</v>
      </c>
      <c r="M331" s="447">
        <v>1500</v>
      </c>
      <c r="N331" s="851">
        <f t="shared" si="6"/>
        <v>-1000</v>
      </c>
      <c r="O331" s="878"/>
      <c r="P331" s="42"/>
      <c r="Q331" s="41"/>
      <c r="R331" s="41"/>
      <c r="S331" s="40"/>
    </row>
    <row r="332" spans="1:19" s="665" customFormat="1" ht="19.5" customHeight="1" thickBot="1">
      <c r="A332" s="749"/>
      <c r="B332" s="750"/>
      <c r="C332" s="716"/>
      <c r="D332" s="751"/>
      <c r="E332" s="718"/>
      <c r="F332" s="718"/>
      <c r="G332" s="731"/>
      <c r="H332" s="718"/>
      <c r="I332" s="717"/>
      <c r="J332" s="718">
        <v>-230821.8</v>
      </c>
      <c r="K332" s="718">
        <v>0</v>
      </c>
      <c r="L332" s="752"/>
      <c r="M332" s="752"/>
      <c r="N332" s="64">
        <f t="shared" si="6"/>
        <v>0</v>
      </c>
      <c r="O332" s="703"/>
      <c r="P332" s="753"/>
      <c r="Q332" s="754"/>
      <c r="R332" s="754"/>
      <c r="S332" s="755"/>
    </row>
    <row r="333" spans="1:19" s="108" customFormat="1" ht="14.25" thickBot="1">
      <c r="A333" s="490"/>
      <c r="B333" s="555" t="s">
        <v>41</v>
      </c>
      <c r="C333" s="684"/>
      <c r="D333" s="707"/>
      <c r="E333" s="595">
        <v>1104035.4</v>
      </c>
      <c r="F333" s="498">
        <v>1040535.3999999999</v>
      </c>
      <c r="G333" s="593">
        <f>SUM(G334:G383)</f>
        <v>1078917</v>
      </c>
      <c r="H333" s="594"/>
      <c r="I333" s="710">
        <v>1008985.25</v>
      </c>
      <c r="J333" s="721"/>
      <c r="K333" s="722">
        <v>-3000</v>
      </c>
      <c r="L333" s="499">
        <f>SUM(L334:L383)</f>
        <v>991750</v>
      </c>
      <c r="M333" s="499">
        <f>SUM(M334:M383)</f>
        <v>978660</v>
      </c>
      <c r="N333" s="646">
        <f t="shared" si="6"/>
        <v>13090</v>
      </c>
      <c r="O333" s="723"/>
      <c r="P333" s="756"/>
      <c r="Q333" s="757"/>
      <c r="R333" s="757"/>
      <c r="S333" s="758"/>
    </row>
    <row r="334" spans="1:19" s="666" customFormat="1" ht="13.5" customHeight="1">
      <c r="A334" s="857">
        <v>317</v>
      </c>
      <c r="B334" s="858" t="s">
        <v>40</v>
      </c>
      <c r="C334" s="44"/>
      <c r="D334" s="22"/>
      <c r="E334" s="64">
        <v>5000</v>
      </c>
      <c r="F334" s="418">
        <v>5000</v>
      </c>
      <c r="G334" s="456">
        <v>5000</v>
      </c>
      <c r="H334" s="403"/>
      <c r="I334" s="537">
        <v>7500</v>
      </c>
      <c r="J334" s="520"/>
      <c r="K334" s="482"/>
      <c r="L334" s="864">
        <v>4500</v>
      </c>
      <c r="M334" s="866"/>
      <c r="N334" s="856">
        <f t="shared" si="6"/>
        <v>4500</v>
      </c>
      <c r="O334" s="63"/>
      <c r="P334" s="69"/>
      <c r="Q334" s="68"/>
      <c r="R334" s="68"/>
      <c r="S334" s="67"/>
    </row>
    <row r="335" spans="1:22" s="28" customFormat="1" ht="13.5">
      <c r="A335" s="33">
        <v>318</v>
      </c>
      <c r="B335" s="62" t="s">
        <v>810</v>
      </c>
      <c r="C335" s="23"/>
      <c r="D335" s="22"/>
      <c r="E335" s="20">
        <v>2000</v>
      </c>
      <c r="F335" s="400">
        <v>2000</v>
      </c>
      <c r="G335" s="454">
        <v>5500</v>
      </c>
      <c r="H335" s="403"/>
      <c r="I335" s="406">
        <v>2500</v>
      </c>
      <c r="J335" s="407"/>
      <c r="K335" s="428"/>
      <c r="L335" s="859">
        <v>0</v>
      </c>
      <c r="M335" s="867">
        <v>30747</v>
      </c>
      <c r="N335" s="856">
        <f t="shared" si="6"/>
        <v>-30747</v>
      </c>
      <c r="O335" s="34"/>
      <c r="P335" s="58"/>
      <c r="Q335" s="57"/>
      <c r="R335" s="57"/>
      <c r="S335" s="56"/>
      <c r="T335" s="45"/>
      <c r="U335" s="45"/>
      <c r="V335" s="45"/>
    </row>
    <row r="336" spans="1:19" s="28" customFormat="1" ht="13.5">
      <c r="A336" s="139" t="s">
        <v>39</v>
      </c>
      <c r="B336" s="143" t="s">
        <v>696</v>
      </c>
      <c r="C336" s="23"/>
      <c r="D336" s="22"/>
      <c r="E336" s="20">
        <v>18000</v>
      </c>
      <c r="F336" s="400">
        <v>18000</v>
      </c>
      <c r="G336" s="454">
        <v>18000</v>
      </c>
      <c r="H336" s="403"/>
      <c r="I336" s="406">
        <v>7500</v>
      </c>
      <c r="J336" s="407"/>
      <c r="K336" s="428"/>
      <c r="L336" s="859">
        <v>7500</v>
      </c>
      <c r="M336" s="867"/>
      <c r="N336" s="856">
        <f t="shared" si="6"/>
        <v>7500</v>
      </c>
      <c r="O336" s="19"/>
      <c r="P336" s="38"/>
      <c r="Q336" s="37"/>
      <c r="R336" s="36"/>
      <c r="S336" s="35"/>
    </row>
    <row r="337" spans="1:22" s="28" customFormat="1" ht="13.5">
      <c r="A337" s="139" t="s">
        <v>38</v>
      </c>
      <c r="B337" s="588" t="s">
        <v>697</v>
      </c>
      <c r="C337" s="23"/>
      <c r="D337" s="22"/>
      <c r="E337" s="20">
        <v>18000</v>
      </c>
      <c r="F337" s="400">
        <v>18000</v>
      </c>
      <c r="G337" s="454">
        <v>18000</v>
      </c>
      <c r="H337" s="403"/>
      <c r="I337" s="406">
        <v>26000</v>
      </c>
      <c r="J337" s="407"/>
      <c r="K337" s="428"/>
      <c r="L337" s="859">
        <v>25000</v>
      </c>
      <c r="M337" s="867"/>
      <c r="N337" s="856">
        <f t="shared" si="6"/>
        <v>25000</v>
      </c>
      <c r="O337" s="24"/>
      <c r="P337" s="58"/>
      <c r="Q337" s="57"/>
      <c r="R337" s="57"/>
      <c r="S337" s="56"/>
      <c r="T337" s="45"/>
      <c r="U337" s="45"/>
      <c r="V337" s="45"/>
    </row>
    <row r="338" spans="1:22" s="28" customFormat="1" ht="13.5">
      <c r="A338" s="139" t="s">
        <v>37</v>
      </c>
      <c r="B338" s="588" t="s">
        <v>698</v>
      </c>
      <c r="C338" s="23"/>
      <c r="D338" s="22"/>
      <c r="E338" s="20">
        <v>18000</v>
      </c>
      <c r="F338" s="400">
        <v>18000</v>
      </c>
      <c r="G338" s="454">
        <v>18000</v>
      </c>
      <c r="H338" s="403"/>
      <c r="I338" s="406">
        <v>26000</v>
      </c>
      <c r="J338" s="407"/>
      <c r="K338" s="428"/>
      <c r="L338" s="859">
        <v>25000</v>
      </c>
      <c r="M338" s="867"/>
      <c r="N338" s="856">
        <f t="shared" si="6"/>
        <v>25000</v>
      </c>
      <c r="O338" s="19"/>
      <c r="P338" s="58"/>
      <c r="Q338" s="57"/>
      <c r="R338" s="57"/>
      <c r="S338" s="56"/>
      <c r="T338" s="45"/>
      <c r="U338" s="45"/>
      <c r="V338" s="45"/>
    </row>
    <row r="339" spans="1:22" s="28" customFormat="1" ht="13.5">
      <c r="A339" s="33" t="s">
        <v>811</v>
      </c>
      <c r="B339" s="62" t="s">
        <v>820</v>
      </c>
      <c r="C339" s="23"/>
      <c r="D339" s="22"/>
      <c r="E339" s="20"/>
      <c r="F339" s="400"/>
      <c r="G339" s="454"/>
      <c r="H339" s="403"/>
      <c r="I339" s="406"/>
      <c r="J339" s="407"/>
      <c r="K339" s="428"/>
      <c r="L339" s="859"/>
      <c r="M339" s="867">
        <v>20000</v>
      </c>
      <c r="N339" s="856">
        <f t="shared" si="6"/>
        <v>-20000</v>
      </c>
      <c r="O339" s="19"/>
      <c r="P339" s="58"/>
      <c r="Q339" s="57"/>
      <c r="R339" s="57"/>
      <c r="S339" s="56"/>
      <c r="T339" s="45"/>
      <c r="U339" s="45"/>
      <c r="V339" s="45"/>
    </row>
    <row r="340" spans="1:22" s="28" customFormat="1" ht="13.5">
      <c r="A340" s="33" t="s">
        <v>812</v>
      </c>
      <c r="B340" s="62" t="s">
        <v>819</v>
      </c>
      <c r="C340" s="23"/>
      <c r="D340" s="22"/>
      <c r="E340" s="20"/>
      <c r="F340" s="400"/>
      <c r="G340" s="454"/>
      <c r="H340" s="403"/>
      <c r="I340" s="406"/>
      <c r="J340" s="407"/>
      <c r="K340" s="428"/>
      <c r="L340" s="859"/>
      <c r="M340" s="867">
        <v>20000</v>
      </c>
      <c r="N340" s="856">
        <f t="shared" si="6"/>
        <v>-20000</v>
      </c>
      <c r="O340" s="19"/>
      <c r="P340" s="58"/>
      <c r="Q340" s="57"/>
      <c r="R340" s="57"/>
      <c r="S340" s="56"/>
      <c r="T340" s="45"/>
      <c r="U340" s="45"/>
      <c r="V340" s="45"/>
    </row>
    <row r="341" spans="1:22" s="28" customFormat="1" ht="13.5">
      <c r="A341" s="33" t="s">
        <v>813</v>
      </c>
      <c r="B341" s="62" t="s">
        <v>814</v>
      </c>
      <c r="C341" s="23"/>
      <c r="D341" s="22"/>
      <c r="E341" s="61">
        <v>3500</v>
      </c>
      <c r="F341" s="419">
        <v>3500</v>
      </c>
      <c r="G341" s="459">
        <v>2500</v>
      </c>
      <c r="H341" s="450"/>
      <c r="I341" s="406"/>
      <c r="J341" s="407"/>
      <c r="K341" s="428"/>
      <c r="L341" s="865"/>
      <c r="M341" s="868">
        <v>20000</v>
      </c>
      <c r="N341" s="856">
        <f t="shared" si="6"/>
        <v>-20000</v>
      </c>
      <c r="O341" s="19"/>
      <c r="P341" s="58"/>
      <c r="Q341" s="57"/>
      <c r="R341" s="57"/>
      <c r="S341" s="56"/>
      <c r="T341" s="45"/>
      <c r="U341" s="45"/>
      <c r="V341" s="45"/>
    </row>
    <row r="342" spans="1:19" s="28" customFormat="1" ht="13.5">
      <c r="A342" s="33" t="s">
        <v>821</v>
      </c>
      <c r="B342" s="103" t="s">
        <v>36</v>
      </c>
      <c r="C342" s="23"/>
      <c r="D342" s="22" t="s">
        <v>34</v>
      </c>
      <c r="E342" s="20">
        <v>116500</v>
      </c>
      <c r="F342" s="400">
        <v>116500</v>
      </c>
      <c r="G342" s="456">
        <v>112000</v>
      </c>
      <c r="H342" s="403"/>
      <c r="I342" s="406">
        <v>195000</v>
      </c>
      <c r="J342" s="407"/>
      <c r="K342" s="428"/>
      <c r="L342" s="859">
        <v>258250</v>
      </c>
      <c r="M342" s="867">
        <f>OTHER!C51</f>
        <v>272216</v>
      </c>
      <c r="N342" s="856">
        <f t="shared" si="6"/>
        <v>-13966</v>
      </c>
      <c r="O342" s="19"/>
      <c r="P342" s="38"/>
      <c r="Q342" s="37"/>
      <c r="R342" s="36"/>
      <c r="S342" s="35"/>
    </row>
    <row r="343" spans="1:19" s="28" customFormat="1" ht="13.5">
      <c r="A343" s="33" t="s">
        <v>33</v>
      </c>
      <c r="B343" s="62" t="s">
        <v>32</v>
      </c>
      <c r="C343" s="23"/>
      <c r="D343" s="22"/>
      <c r="E343" s="20">
        <v>27500</v>
      </c>
      <c r="F343" s="400">
        <v>27500</v>
      </c>
      <c r="G343" s="456">
        <v>7500</v>
      </c>
      <c r="H343" s="403"/>
      <c r="I343" s="406">
        <v>42000</v>
      </c>
      <c r="J343" s="407"/>
      <c r="K343" s="428"/>
      <c r="L343" s="859">
        <v>42000</v>
      </c>
      <c r="M343" s="867">
        <v>43697</v>
      </c>
      <c r="N343" s="856">
        <f>SUM(L343-M343)</f>
        <v>-1697</v>
      </c>
      <c r="O343" s="19"/>
      <c r="P343" s="135"/>
      <c r="Q343" s="37"/>
      <c r="R343" s="36"/>
      <c r="S343" s="35"/>
    </row>
    <row r="344" spans="1:22" s="28" customFormat="1" ht="13.5">
      <c r="A344" s="33" t="s">
        <v>35</v>
      </c>
      <c r="B344" s="62" t="s">
        <v>815</v>
      </c>
      <c r="C344" s="23"/>
      <c r="D344" s="22" t="s">
        <v>34</v>
      </c>
      <c r="E344" s="20">
        <v>193500</v>
      </c>
      <c r="F344" s="400">
        <v>185000</v>
      </c>
      <c r="G344" s="456">
        <v>211050</v>
      </c>
      <c r="H344" s="403"/>
      <c r="I344" s="406">
        <v>20000</v>
      </c>
      <c r="J344" s="407"/>
      <c r="K344" s="428"/>
      <c r="L344" s="859">
        <v>50000</v>
      </c>
      <c r="M344" s="867">
        <v>50000</v>
      </c>
      <c r="N344" s="856">
        <f t="shared" si="6"/>
        <v>0</v>
      </c>
      <c r="O344" s="392"/>
      <c r="P344" s="58"/>
      <c r="Q344" s="57"/>
      <c r="R344" s="57"/>
      <c r="S344" s="56"/>
      <c r="T344" s="45"/>
      <c r="U344" s="45"/>
      <c r="V344" s="45"/>
    </row>
    <row r="345" spans="1:22" s="28" customFormat="1" ht="13.5">
      <c r="A345" s="33" t="s">
        <v>33</v>
      </c>
      <c r="B345" s="62" t="s">
        <v>816</v>
      </c>
      <c r="C345" s="23"/>
      <c r="D345" s="22"/>
      <c r="E345" s="20"/>
      <c r="F345" s="400"/>
      <c r="G345" s="456"/>
      <c r="H345" s="403"/>
      <c r="I345" s="406"/>
      <c r="J345" s="407"/>
      <c r="K345" s="428"/>
      <c r="L345" s="859"/>
      <c r="M345" s="867">
        <v>10000</v>
      </c>
      <c r="N345" s="856">
        <f t="shared" si="6"/>
        <v>-10000</v>
      </c>
      <c r="O345" s="392"/>
      <c r="P345" s="58"/>
      <c r="Q345" s="57"/>
      <c r="R345" s="57"/>
      <c r="S345" s="56"/>
      <c r="T345" s="45"/>
      <c r="U345" s="45"/>
      <c r="V345" s="45"/>
    </row>
    <row r="346" spans="1:22" s="28" customFormat="1" ht="13.5">
      <c r="A346" s="33" t="s">
        <v>31</v>
      </c>
      <c r="B346" s="62" t="s">
        <v>817</v>
      </c>
      <c r="C346" s="23"/>
      <c r="D346" s="22"/>
      <c r="E346" s="20">
        <v>35000</v>
      </c>
      <c r="F346" s="400">
        <v>30000</v>
      </c>
      <c r="G346" s="456">
        <v>35000</v>
      </c>
      <c r="H346" s="403">
        <v>76878</v>
      </c>
      <c r="I346" s="406">
        <v>60000</v>
      </c>
      <c r="J346" s="407"/>
      <c r="K346" s="428"/>
      <c r="L346" s="859"/>
      <c r="M346" s="867">
        <v>11000</v>
      </c>
      <c r="N346" s="856">
        <f t="shared" si="6"/>
        <v>-11000</v>
      </c>
      <c r="O346" s="392"/>
      <c r="P346" s="58"/>
      <c r="Q346" s="57"/>
      <c r="R346" s="57"/>
      <c r="S346" s="56"/>
      <c r="T346" s="45"/>
      <c r="U346" s="45"/>
      <c r="V346" s="45"/>
    </row>
    <row r="347" spans="1:22" s="28" customFormat="1" ht="13.5">
      <c r="A347" s="33" t="s">
        <v>818</v>
      </c>
      <c r="B347" s="62" t="s">
        <v>822</v>
      </c>
      <c r="C347" s="60"/>
      <c r="D347" s="59"/>
      <c r="E347" s="20">
        <v>23500</v>
      </c>
      <c r="F347" s="400">
        <v>21500</v>
      </c>
      <c r="G347" s="454">
        <v>23500</v>
      </c>
      <c r="H347" s="403"/>
      <c r="I347" s="406">
        <v>23500</v>
      </c>
      <c r="J347" s="407"/>
      <c r="K347" s="428"/>
      <c r="L347" s="859"/>
      <c r="M347" s="867">
        <v>11000</v>
      </c>
      <c r="N347" s="856">
        <f t="shared" si="6"/>
        <v>-11000</v>
      </c>
      <c r="O347" s="392"/>
      <c r="P347" s="58"/>
      <c r="Q347" s="57"/>
      <c r="R347" s="57"/>
      <c r="S347" s="56"/>
      <c r="T347" s="45"/>
      <c r="U347" s="45"/>
      <c r="V347" s="45"/>
    </row>
    <row r="348" spans="1:22" s="28" customFormat="1" ht="13.5">
      <c r="A348" s="33">
        <v>323</v>
      </c>
      <c r="B348" s="62" t="s">
        <v>30</v>
      </c>
      <c r="C348" s="60"/>
      <c r="D348" s="59"/>
      <c r="E348" s="20"/>
      <c r="F348" s="400"/>
      <c r="G348" s="454"/>
      <c r="H348" s="403"/>
      <c r="I348" s="406"/>
      <c r="J348" s="407"/>
      <c r="K348" s="428"/>
      <c r="L348" s="859">
        <v>23500</v>
      </c>
      <c r="M348" s="867">
        <v>25000</v>
      </c>
      <c r="N348" s="856">
        <f t="shared" si="6"/>
        <v>-1500</v>
      </c>
      <c r="O348" s="392"/>
      <c r="P348" s="58"/>
      <c r="Q348" s="57"/>
      <c r="R348" s="57"/>
      <c r="S348" s="56"/>
      <c r="T348" s="45"/>
      <c r="U348" s="45"/>
      <c r="V348" s="45"/>
    </row>
    <row r="349" spans="1:22" s="28" customFormat="1" ht="13.5">
      <c r="A349" s="33">
        <v>324</v>
      </c>
      <c r="B349" s="62" t="s">
        <v>29</v>
      </c>
      <c r="C349" s="60"/>
      <c r="D349" s="59"/>
      <c r="E349" s="20">
        <v>5000</v>
      </c>
      <c r="F349" s="400">
        <v>5000</v>
      </c>
      <c r="G349" s="454">
        <v>5000</v>
      </c>
      <c r="H349" s="403"/>
      <c r="I349" s="406">
        <v>5000</v>
      </c>
      <c r="J349" s="407"/>
      <c r="K349" s="428"/>
      <c r="L349" s="859">
        <v>5000</v>
      </c>
      <c r="M349" s="867">
        <v>5000</v>
      </c>
      <c r="N349" s="856">
        <f t="shared" si="6"/>
        <v>0</v>
      </c>
      <c r="O349" s="392"/>
      <c r="P349" s="58"/>
      <c r="Q349" s="57"/>
      <c r="R349" s="57"/>
      <c r="S349" s="56"/>
      <c r="T349" s="45"/>
      <c r="U349" s="45"/>
      <c r="V349" s="45"/>
    </row>
    <row r="350" spans="1:22" s="28" customFormat="1" ht="13.5">
      <c r="A350" s="33">
        <v>325</v>
      </c>
      <c r="B350" s="62" t="s">
        <v>28</v>
      </c>
      <c r="C350" s="23"/>
      <c r="D350" s="22"/>
      <c r="E350" s="20">
        <v>3000</v>
      </c>
      <c r="F350" s="400">
        <v>3000</v>
      </c>
      <c r="G350" s="454">
        <v>3000</v>
      </c>
      <c r="H350" s="403"/>
      <c r="I350" s="406">
        <v>3000</v>
      </c>
      <c r="J350" s="407"/>
      <c r="K350" s="428"/>
      <c r="L350" s="859">
        <v>0</v>
      </c>
      <c r="M350" s="867"/>
      <c r="N350" s="856">
        <f t="shared" si="6"/>
        <v>0</v>
      </c>
      <c r="O350" s="392"/>
      <c r="P350" s="58"/>
      <c r="Q350" s="57"/>
      <c r="R350" s="57"/>
      <c r="S350" s="56"/>
      <c r="T350" s="45"/>
      <c r="U350" s="45"/>
      <c r="V350" s="45"/>
    </row>
    <row r="351" spans="1:22" s="28" customFormat="1" ht="13.5">
      <c r="A351" s="33">
        <v>326</v>
      </c>
      <c r="B351" s="62" t="s">
        <v>27</v>
      </c>
      <c r="C351" s="23"/>
      <c r="D351" s="22"/>
      <c r="E351" s="20">
        <v>35000</v>
      </c>
      <c r="F351" s="400">
        <v>35000</v>
      </c>
      <c r="G351" s="454">
        <v>33000</v>
      </c>
      <c r="H351" s="403">
        <v>29638</v>
      </c>
      <c r="I351" s="406">
        <v>30000</v>
      </c>
      <c r="J351" s="407"/>
      <c r="K351" s="428"/>
      <c r="L351" s="859">
        <v>30000</v>
      </c>
      <c r="M351" s="867">
        <v>35000</v>
      </c>
      <c r="N351" s="856">
        <f t="shared" si="6"/>
        <v>-5000</v>
      </c>
      <c r="O351" s="392"/>
      <c r="P351" s="55"/>
      <c r="Q351" s="54"/>
      <c r="R351" s="54"/>
      <c r="S351" s="53"/>
      <c r="T351" s="45"/>
      <c r="U351" s="45"/>
      <c r="V351" s="45"/>
    </row>
    <row r="352" spans="1:22" s="28" customFormat="1" ht="13.5">
      <c r="A352" s="33" t="s">
        <v>26</v>
      </c>
      <c r="B352" s="62" t="s">
        <v>25</v>
      </c>
      <c r="C352" s="23"/>
      <c r="D352" s="22"/>
      <c r="E352" s="20">
        <v>7500</v>
      </c>
      <c r="F352" s="400">
        <v>7500</v>
      </c>
      <c r="G352" s="454">
        <v>5000</v>
      </c>
      <c r="H352" s="403"/>
      <c r="I352" s="406">
        <v>5000</v>
      </c>
      <c r="J352" s="407"/>
      <c r="K352" s="428"/>
      <c r="L352" s="859">
        <v>1000</v>
      </c>
      <c r="M352" s="867">
        <v>1000</v>
      </c>
      <c r="N352" s="856">
        <f t="shared" si="6"/>
        <v>0</v>
      </c>
      <c r="O352" s="392"/>
      <c r="P352" s="52"/>
      <c r="Q352" s="51"/>
      <c r="R352" s="51"/>
      <c r="S352" s="50"/>
      <c r="T352" s="45"/>
      <c r="U352" s="45"/>
      <c r="V352" s="45"/>
    </row>
    <row r="353" spans="1:22" s="28" customFormat="1" ht="13.5">
      <c r="A353" s="33" t="s">
        <v>24</v>
      </c>
      <c r="B353" s="62" t="s">
        <v>699</v>
      </c>
      <c r="C353" s="23"/>
      <c r="D353" s="22"/>
      <c r="E353" s="20">
        <v>0</v>
      </c>
      <c r="F353" s="400">
        <v>0</v>
      </c>
      <c r="G353" s="454">
        <v>0</v>
      </c>
      <c r="H353" s="403"/>
      <c r="I353" s="406">
        <v>0</v>
      </c>
      <c r="J353" s="407"/>
      <c r="K353" s="428"/>
      <c r="L353" s="859"/>
      <c r="M353" s="867"/>
      <c r="N353" s="856">
        <f aca="true" t="shared" si="7" ref="N353:N383">SUM(L353-M353)</f>
        <v>0</v>
      </c>
      <c r="O353" s="392"/>
      <c r="P353" s="52"/>
      <c r="Q353" s="51"/>
      <c r="R353" s="51"/>
      <c r="S353" s="50"/>
      <c r="T353" s="45"/>
      <c r="U353" s="45"/>
      <c r="V353" s="45"/>
    </row>
    <row r="354" spans="1:22" s="28" customFormat="1" ht="13.5">
      <c r="A354" s="33" t="s">
        <v>23</v>
      </c>
      <c r="B354" s="62" t="s">
        <v>700</v>
      </c>
      <c r="C354" s="23"/>
      <c r="D354" s="22"/>
      <c r="E354" s="20">
        <v>0</v>
      </c>
      <c r="F354" s="400">
        <v>0</v>
      </c>
      <c r="G354" s="460">
        <v>0</v>
      </c>
      <c r="H354" s="403"/>
      <c r="I354" s="406">
        <v>0</v>
      </c>
      <c r="J354" s="407"/>
      <c r="K354" s="428"/>
      <c r="L354" s="859"/>
      <c r="M354" s="861"/>
      <c r="N354" s="856">
        <f t="shared" si="7"/>
        <v>0</v>
      </c>
      <c r="O354" s="392"/>
      <c r="P354" s="52"/>
      <c r="Q354" s="51"/>
      <c r="R354" s="51"/>
      <c r="S354" s="50"/>
      <c r="T354" s="45"/>
      <c r="U354" s="45"/>
      <c r="V354" s="45"/>
    </row>
    <row r="355" spans="1:22" s="28" customFormat="1" ht="13.5">
      <c r="A355" s="33" t="s">
        <v>22</v>
      </c>
      <c r="B355" s="62" t="s">
        <v>701</v>
      </c>
      <c r="C355" s="23"/>
      <c r="D355" s="22"/>
      <c r="E355" s="20">
        <v>0</v>
      </c>
      <c r="F355" s="400">
        <v>0</v>
      </c>
      <c r="G355" s="454">
        <v>0</v>
      </c>
      <c r="H355" s="403"/>
      <c r="I355" s="406">
        <v>0</v>
      </c>
      <c r="J355" s="407"/>
      <c r="K355" s="428"/>
      <c r="L355" s="859"/>
      <c r="M355" s="861"/>
      <c r="N355" s="856">
        <f t="shared" si="7"/>
        <v>0</v>
      </c>
      <c r="O355" s="392"/>
      <c r="P355" s="52"/>
      <c r="Q355" s="51"/>
      <c r="R355" s="51"/>
      <c r="S355" s="50"/>
      <c r="T355" s="45"/>
      <c r="U355" s="45"/>
      <c r="V355" s="45"/>
    </row>
    <row r="356" spans="1:19" s="46" customFormat="1" ht="13.5">
      <c r="A356" s="33">
        <v>352</v>
      </c>
      <c r="B356" s="62" t="s">
        <v>21</v>
      </c>
      <c r="C356" s="23"/>
      <c r="D356" s="22"/>
      <c r="E356" s="20">
        <v>54450</v>
      </c>
      <c r="F356" s="400">
        <v>54450</v>
      </c>
      <c r="G356" s="454">
        <v>56250</v>
      </c>
      <c r="H356" s="403">
        <v>54300</v>
      </c>
      <c r="I356" s="406">
        <v>56250</v>
      </c>
      <c r="J356" s="407"/>
      <c r="K356" s="428"/>
      <c r="L356" s="859">
        <v>56250</v>
      </c>
      <c r="M356" s="861">
        <v>56250</v>
      </c>
      <c r="N356" s="856">
        <f t="shared" si="7"/>
        <v>0</v>
      </c>
      <c r="O356" s="392"/>
      <c r="P356" s="49"/>
      <c r="Q356" s="48"/>
      <c r="R356" s="48"/>
      <c r="S356" s="47"/>
    </row>
    <row r="357" spans="1:19" s="45" customFormat="1" ht="13.5">
      <c r="A357" s="33">
        <v>354</v>
      </c>
      <c r="B357" s="62" t="s">
        <v>20</v>
      </c>
      <c r="C357" s="23"/>
      <c r="D357" s="22"/>
      <c r="E357" s="20">
        <v>54450</v>
      </c>
      <c r="F357" s="400">
        <v>54450</v>
      </c>
      <c r="G357" s="454">
        <v>56250</v>
      </c>
      <c r="H357" s="403">
        <v>44444</v>
      </c>
      <c r="I357" s="406">
        <v>50000</v>
      </c>
      <c r="J357" s="407"/>
      <c r="K357" s="428"/>
      <c r="L357" s="859">
        <v>50000</v>
      </c>
      <c r="M357" s="861">
        <v>50000</v>
      </c>
      <c r="N357" s="856">
        <f t="shared" si="7"/>
        <v>0</v>
      </c>
      <c r="O357" s="392"/>
      <c r="P357" s="31"/>
      <c r="Q357" s="30"/>
      <c r="R357" s="30"/>
      <c r="S357" s="29"/>
    </row>
    <row r="358" spans="1:19" s="45" customFormat="1" ht="13.5">
      <c r="A358" s="33">
        <v>356</v>
      </c>
      <c r="B358" s="62" t="s">
        <v>19</v>
      </c>
      <c r="C358" s="23"/>
      <c r="D358" s="22"/>
      <c r="E358" s="20">
        <v>54450</v>
      </c>
      <c r="F358" s="400">
        <v>54450</v>
      </c>
      <c r="G358" s="454">
        <v>56250</v>
      </c>
      <c r="H358" s="403">
        <v>55896</v>
      </c>
      <c r="I358" s="406">
        <v>56250</v>
      </c>
      <c r="J358" s="407"/>
      <c r="K358" s="428"/>
      <c r="L358" s="859">
        <v>56250</v>
      </c>
      <c r="M358" s="861">
        <v>56250</v>
      </c>
      <c r="N358" s="856">
        <f t="shared" si="7"/>
        <v>0</v>
      </c>
      <c r="O358" s="392"/>
      <c r="P358" s="31"/>
      <c r="Q358" s="30"/>
      <c r="R358" s="30"/>
      <c r="S358" s="29"/>
    </row>
    <row r="359" spans="1:19" s="45" customFormat="1" ht="13.5">
      <c r="A359" s="33">
        <v>328</v>
      </c>
      <c r="B359" s="559" t="s">
        <v>18</v>
      </c>
      <c r="C359" s="44"/>
      <c r="D359" s="22"/>
      <c r="E359" s="20">
        <v>295585.39999999997</v>
      </c>
      <c r="F359" s="400">
        <v>247585.39999999997</v>
      </c>
      <c r="G359" s="454">
        <v>261017</v>
      </c>
      <c r="H359" s="403">
        <v>207663</v>
      </c>
      <c r="I359" s="537">
        <v>228429.30000000002</v>
      </c>
      <c r="J359" s="520"/>
      <c r="K359" s="482">
        <v>-3000</v>
      </c>
      <c r="L359" s="859">
        <v>226000</v>
      </c>
      <c r="M359" s="861">
        <v>226000</v>
      </c>
      <c r="N359" s="856">
        <f t="shared" si="7"/>
        <v>0</v>
      </c>
      <c r="O359" s="392"/>
      <c r="P359" s="31"/>
      <c r="Q359" s="30"/>
      <c r="R359" s="30"/>
      <c r="S359" s="29"/>
    </row>
    <row r="360" spans="1:19" s="45" customFormat="1" ht="13.5">
      <c r="A360" s="33" t="s">
        <v>17</v>
      </c>
      <c r="B360" s="879" t="s">
        <v>704</v>
      </c>
      <c r="C360" s="44"/>
      <c r="D360" s="22"/>
      <c r="E360" s="20"/>
      <c r="F360" s="400"/>
      <c r="G360" s="459" t="s">
        <v>16</v>
      </c>
      <c r="H360" s="403">
        <v>72141</v>
      </c>
      <c r="I360" s="537"/>
      <c r="J360" s="520"/>
      <c r="K360" s="482"/>
      <c r="L360" s="859"/>
      <c r="M360" s="861"/>
      <c r="N360" s="856">
        <f t="shared" si="7"/>
        <v>0</v>
      </c>
      <c r="O360" s="63"/>
      <c r="P360" s="31"/>
      <c r="Q360" s="30"/>
      <c r="R360" s="30"/>
      <c r="S360" s="29"/>
    </row>
    <row r="361" spans="1:19" s="46" customFormat="1" ht="13.5">
      <c r="A361" s="33" t="s">
        <v>15</v>
      </c>
      <c r="B361" s="879" t="s">
        <v>702</v>
      </c>
      <c r="C361" s="44"/>
      <c r="D361" s="22"/>
      <c r="E361" s="20"/>
      <c r="F361" s="400"/>
      <c r="G361" s="459" t="s">
        <v>14</v>
      </c>
      <c r="H361" s="403">
        <v>56507</v>
      </c>
      <c r="I361" s="537"/>
      <c r="J361" s="520"/>
      <c r="K361" s="482"/>
      <c r="L361" s="859"/>
      <c r="M361" s="861"/>
      <c r="N361" s="856">
        <f t="shared" si="7"/>
        <v>0</v>
      </c>
      <c r="O361" s="63"/>
      <c r="P361" s="42"/>
      <c r="Q361" s="41"/>
      <c r="R361" s="41"/>
      <c r="S361" s="40"/>
    </row>
    <row r="362" spans="1:19" s="46" customFormat="1" ht="13.5">
      <c r="A362" s="33" t="s">
        <v>12</v>
      </c>
      <c r="B362" s="879" t="s">
        <v>703</v>
      </c>
      <c r="C362" s="44"/>
      <c r="D362" s="22"/>
      <c r="E362" s="20"/>
      <c r="F362" s="400"/>
      <c r="G362" s="459" t="s">
        <v>13</v>
      </c>
      <c r="H362" s="403">
        <v>74676</v>
      </c>
      <c r="I362" s="537"/>
      <c r="J362" s="520"/>
      <c r="K362" s="482"/>
      <c r="L362" s="859"/>
      <c r="M362" s="861"/>
      <c r="N362" s="856">
        <f t="shared" si="7"/>
        <v>0</v>
      </c>
      <c r="O362" s="63"/>
      <c r="P362" s="42"/>
      <c r="Q362" s="41"/>
      <c r="R362" s="41"/>
      <c r="S362" s="40"/>
    </row>
    <row r="363" spans="1:19" s="46" customFormat="1" ht="13.5">
      <c r="A363" s="33" t="s">
        <v>12</v>
      </c>
      <c r="B363" s="879" t="s">
        <v>11</v>
      </c>
      <c r="C363" s="44"/>
      <c r="D363" s="22"/>
      <c r="E363" s="20"/>
      <c r="F363" s="400"/>
      <c r="G363" s="454">
        <v>4000</v>
      </c>
      <c r="H363" s="403">
        <v>4339</v>
      </c>
      <c r="I363" s="537">
        <v>4555.95</v>
      </c>
      <c r="J363" s="520"/>
      <c r="K363" s="482"/>
      <c r="L363" s="859"/>
      <c r="M363" s="861"/>
      <c r="N363" s="856">
        <f t="shared" si="7"/>
        <v>0</v>
      </c>
      <c r="O363" s="63"/>
      <c r="P363" s="42"/>
      <c r="Q363" s="41"/>
      <c r="R363" s="41"/>
      <c r="S363" s="40"/>
    </row>
    <row r="364" spans="1:22" s="46" customFormat="1" ht="13.5">
      <c r="A364" s="33">
        <v>329</v>
      </c>
      <c r="B364" s="62" t="s">
        <v>10</v>
      </c>
      <c r="C364" s="23"/>
      <c r="D364" s="22"/>
      <c r="E364" s="20">
        <v>19500</v>
      </c>
      <c r="F364" s="400">
        <v>19500</v>
      </c>
      <c r="G364" s="454">
        <v>19500</v>
      </c>
      <c r="H364" s="403"/>
      <c r="I364" s="406">
        <v>19500</v>
      </c>
      <c r="J364" s="407"/>
      <c r="K364" s="428"/>
      <c r="L364" s="859">
        <v>16500</v>
      </c>
      <c r="M364" s="861">
        <v>8500</v>
      </c>
      <c r="N364" s="856">
        <f t="shared" si="7"/>
        <v>8000</v>
      </c>
      <c r="O364" s="19"/>
      <c r="P364" s="42"/>
      <c r="Q364" s="41"/>
      <c r="R364" s="41"/>
      <c r="S364" s="40"/>
      <c r="V364" s="46">
        <v>88.19999999999999</v>
      </c>
    </row>
    <row r="365" spans="1:19" s="28" customFormat="1" ht="13.5">
      <c r="A365" s="139">
        <v>330</v>
      </c>
      <c r="B365" s="143" t="s">
        <v>9</v>
      </c>
      <c r="C365" s="23"/>
      <c r="D365" s="22"/>
      <c r="E365" s="20">
        <v>15000</v>
      </c>
      <c r="F365" s="400">
        <v>15000</v>
      </c>
      <c r="G365" s="454">
        <v>15000</v>
      </c>
      <c r="H365" s="403">
        <v>9207</v>
      </c>
      <c r="I365" s="406">
        <v>15000</v>
      </c>
      <c r="J365" s="407"/>
      <c r="K365" s="428"/>
      <c r="L365" s="859">
        <v>15000</v>
      </c>
      <c r="M365" s="861"/>
      <c r="N365" s="856">
        <f t="shared" si="7"/>
        <v>15000</v>
      </c>
      <c r="O365" s="24"/>
      <c r="P365" s="38"/>
      <c r="Q365" s="37"/>
      <c r="R365" s="36"/>
      <c r="S365" s="35"/>
    </row>
    <row r="366" spans="1:19" s="28" customFormat="1" ht="13.5">
      <c r="A366" s="139">
        <v>331</v>
      </c>
      <c r="B366" s="143" t="s">
        <v>8</v>
      </c>
      <c r="C366" s="23"/>
      <c r="D366" s="22"/>
      <c r="E366" s="20">
        <v>30000</v>
      </c>
      <c r="F366" s="400">
        <v>30000</v>
      </c>
      <c r="G366" s="454">
        <v>30000</v>
      </c>
      <c r="H366" s="403">
        <v>27703</v>
      </c>
      <c r="I366" s="406">
        <v>30000</v>
      </c>
      <c r="J366" s="407"/>
      <c r="K366" s="428"/>
      <c r="L366" s="859">
        <v>20000</v>
      </c>
      <c r="M366" s="861"/>
      <c r="N366" s="856">
        <f t="shared" si="7"/>
        <v>20000</v>
      </c>
      <c r="O366" s="19"/>
      <c r="P366" s="38"/>
      <c r="Q366" s="37"/>
      <c r="R366" s="36"/>
      <c r="S366" s="35"/>
    </row>
    <row r="367" spans="1:19" s="45" customFormat="1" ht="13.5">
      <c r="A367" s="33">
        <v>332</v>
      </c>
      <c r="B367" s="62" t="s">
        <v>7</v>
      </c>
      <c r="C367" s="23"/>
      <c r="D367" s="22"/>
      <c r="E367" s="20">
        <v>3000</v>
      </c>
      <c r="F367" s="400">
        <v>3000</v>
      </c>
      <c r="G367" s="456">
        <v>3000</v>
      </c>
      <c r="H367" s="403"/>
      <c r="I367" s="406">
        <v>3000</v>
      </c>
      <c r="J367" s="407"/>
      <c r="K367" s="428"/>
      <c r="L367" s="859">
        <v>3000</v>
      </c>
      <c r="M367" s="861">
        <v>0</v>
      </c>
      <c r="N367" s="856">
        <f t="shared" si="7"/>
        <v>3000</v>
      </c>
      <c r="O367" s="19"/>
      <c r="P367" s="31"/>
      <c r="Q367" s="30"/>
      <c r="R367" s="30"/>
      <c r="S367" s="29"/>
    </row>
    <row r="368" spans="1:19" s="28" customFormat="1" ht="13.5">
      <c r="A368" s="33">
        <v>333</v>
      </c>
      <c r="B368" s="32" t="s">
        <v>6</v>
      </c>
      <c r="C368" s="23"/>
      <c r="D368" s="22"/>
      <c r="E368" s="20">
        <v>0</v>
      </c>
      <c r="F368" s="400">
        <v>0</v>
      </c>
      <c r="G368" s="454">
        <v>0</v>
      </c>
      <c r="H368" s="403"/>
      <c r="I368" s="406">
        <v>0</v>
      </c>
      <c r="J368" s="407"/>
      <c r="K368" s="428"/>
      <c r="L368" s="859"/>
      <c r="M368" s="861"/>
      <c r="N368" s="856">
        <f t="shared" si="7"/>
        <v>0</v>
      </c>
      <c r="O368" s="19"/>
      <c r="P368" s="31"/>
      <c r="Q368" s="30"/>
      <c r="R368" s="30"/>
      <c r="S368" s="29"/>
    </row>
    <row r="369" spans="1:19" s="28" customFormat="1" ht="13.5">
      <c r="A369" s="139">
        <v>353</v>
      </c>
      <c r="B369" s="143" t="s">
        <v>710</v>
      </c>
      <c r="C369" s="23"/>
      <c r="D369" s="22"/>
      <c r="E369" s="20">
        <v>15000</v>
      </c>
      <c r="F369" s="400">
        <v>15000</v>
      </c>
      <c r="G369" s="454">
        <v>18000</v>
      </c>
      <c r="H369" s="403"/>
      <c r="I369" s="406">
        <v>10000</v>
      </c>
      <c r="J369" s="407"/>
      <c r="K369" s="428"/>
      <c r="L369" s="859">
        <v>10000</v>
      </c>
      <c r="M369" s="861"/>
      <c r="N369" s="856">
        <f t="shared" si="7"/>
        <v>10000</v>
      </c>
      <c r="O369" s="19"/>
      <c r="P369" s="38"/>
      <c r="Q369" s="37"/>
      <c r="R369" s="36"/>
      <c r="S369" s="35"/>
    </row>
    <row r="370" spans="1:19" s="28" customFormat="1" ht="12.75" customHeight="1">
      <c r="A370" s="139">
        <v>355</v>
      </c>
      <c r="B370" s="599" t="s">
        <v>711</v>
      </c>
      <c r="C370" s="23"/>
      <c r="D370" s="22"/>
      <c r="E370" s="20">
        <v>15000</v>
      </c>
      <c r="F370" s="400">
        <v>15000</v>
      </c>
      <c r="G370" s="454">
        <v>18000</v>
      </c>
      <c r="H370" s="403"/>
      <c r="I370" s="406">
        <v>28000</v>
      </c>
      <c r="J370" s="407"/>
      <c r="K370" s="428"/>
      <c r="L370" s="859">
        <v>20000</v>
      </c>
      <c r="M370" s="861"/>
      <c r="N370" s="856">
        <f t="shared" si="7"/>
        <v>20000</v>
      </c>
      <c r="O370" s="34"/>
      <c r="P370" s="31"/>
      <c r="Q370" s="30"/>
      <c r="R370" s="30"/>
      <c r="S370" s="29"/>
    </row>
    <row r="371" spans="1:19" s="28" customFormat="1" ht="13.5">
      <c r="A371" s="139">
        <v>357</v>
      </c>
      <c r="B371" s="599" t="s">
        <v>712</v>
      </c>
      <c r="C371" s="23"/>
      <c r="D371" s="22"/>
      <c r="E371" s="20">
        <v>15000</v>
      </c>
      <c r="F371" s="400">
        <v>15000</v>
      </c>
      <c r="G371" s="454">
        <v>18000</v>
      </c>
      <c r="H371" s="403"/>
      <c r="I371" s="406">
        <v>28000</v>
      </c>
      <c r="J371" s="407"/>
      <c r="K371" s="428"/>
      <c r="L371" s="859">
        <v>20000</v>
      </c>
      <c r="M371" s="861"/>
      <c r="N371" s="856">
        <f t="shared" si="7"/>
        <v>20000</v>
      </c>
      <c r="O371" s="19"/>
      <c r="P371" s="31"/>
      <c r="Q371" s="30"/>
      <c r="R371" s="30"/>
      <c r="S371" s="29"/>
    </row>
    <row r="372" spans="1:19" s="28" customFormat="1" ht="13.5" hidden="1">
      <c r="A372" s="139">
        <v>358</v>
      </c>
      <c r="B372" s="599" t="s">
        <v>5</v>
      </c>
      <c r="C372" s="142"/>
      <c r="D372" s="141"/>
      <c r="E372" s="20">
        <v>0</v>
      </c>
      <c r="F372" s="400">
        <v>0</v>
      </c>
      <c r="G372" s="598">
        <v>0</v>
      </c>
      <c r="H372" s="403"/>
      <c r="I372" s="522">
        <v>0</v>
      </c>
      <c r="J372" s="572"/>
      <c r="K372" s="573"/>
      <c r="L372" s="859">
        <v>0</v>
      </c>
      <c r="M372" s="861">
        <v>0</v>
      </c>
      <c r="N372" s="856">
        <f t="shared" si="7"/>
        <v>0</v>
      </c>
      <c r="O372" s="548"/>
      <c r="P372" s="31"/>
      <c r="Q372" s="30"/>
      <c r="R372" s="30"/>
      <c r="S372" s="29"/>
    </row>
    <row r="373" spans="1:19" s="28" customFormat="1" ht="13.5" hidden="1">
      <c r="A373" s="139">
        <v>359</v>
      </c>
      <c r="B373" s="599" t="s">
        <v>4</v>
      </c>
      <c r="C373" s="142"/>
      <c r="D373" s="141"/>
      <c r="E373" s="20">
        <v>0</v>
      </c>
      <c r="F373" s="400">
        <v>0</v>
      </c>
      <c r="G373" s="598">
        <v>0</v>
      </c>
      <c r="H373" s="403"/>
      <c r="I373" s="522">
        <v>0</v>
      </c>
      <c r="J373" s="572"/>
      <c r="K373" s="573"/>
      <c r="L373" s="859">
        <v>0</v>
      </c>
      <c r="M373" s="861">
        <v>0</v>
      </c>
      <c r="N373" s="856">
        <f t="shared" si="7"/>
        <v>0</v>
      </c>
      <c r="O373" s="548"/>
      <c r="P373" s="31"/>
      <c r="Q373" s="30"/>
      <c r="R373" s="30"/>
      <c r="S373" s="29"/>
    </row>
    <row r="374" spans="1:19" s="28" customFormat="1" ht="13.5">
      <c r="A374" s="33">
        <v>360</v>
      </c>
      <c r="B374" s="32" t="s">
        <v>713</v>
      </c>
      <c r="C374" s="23"/>
      <c r="D374" s="22"/>
      <c r="E374" s="20">
        <v>5500</v>
      </c>
      <c r="F374" s="400">
        <v>5500</v>
      </c>
      <c r="G374" s="456">
        <v>5500</v>
      </c>
      <c r="H374" s="403"/>
      <c r="I374" s="406">
        <v>5500</v>
      </c>
      <c r="J374" s="407"/>
      <c r="K374" s="428"/>
      <c r="L374" s="859">
        <v>5500</v>
      </c>
      <c r="M374" s="861">
        <v>5500</v>
      </c>
      <c r="N374" s="856">
        <f t="shared" si="7"/>
        <v>0</v>
      </c>
      <c r="O374" s="19"/>
      <c r="P374" s="31"/>
      <c r="Q374" s="30"/>
      <c r="R374" s="30"/>
      <c r="S374" s="29"/>
    </row>
    <row r="375" spans="1:19" s="28" customFormat="1" ht="13.5">
      <c r="A375" s="33">
        <v>361</v>
      </c>
      <c r="B375" s="32" t="s">
        <v>3</v>
      </c>
      <c r="C375" s="23"/>
      <c r="D375" s="22"/>
      <c r="E375" s="20">
        <v>1200</v>
      </c>
      <c r="F375" s="400">
        <v>1200</v>
      </c>
      <c r="G375" s="454">
        <v>1200</v>
      </c>
      <c r="H375" s="403">
        <v>11912</v>
      </c>
      <c r="I375" s="406">
        <v>5000</v>
      </c>
      <c r="J375" s="407"/>
      <c r="K375" s="428"/>
      <c r="L375" s="859">
        <v>5000</v>
      </c>
      <c r="M375" s="861">
        <v>5000</v>
      </c>
      <c r="N375" s="856">
        <f t="shared" si="7"/>
        <v>0</v>
      </c>
      <c r="O375" s="19"/>
      <c r="P375" s="31"/>
      <c r="Q375" s="30"/>
      <c r="R375" s="30"/>
      <c r="S375" s="29"/>
    </row>
    <row r="376" spans="1:19" ht="14.25" thickBot="1">
      <c r="A376" s="33">
        <v>362</v>
      </c>
      <c r="B376" s="32" t="s">
        <v>2</v>
      </c>
      <c r="C376" s="23"/>
      <c r="D376" s="22"/>
      <c r="E376" s="20">
        <v>1200</v>
      </c>
      <c r="F376" s="400">
        <v>1200</v>
      </c>
      <c r="G376" s="454">
        <v>1200</v>
      </c>
      <c r="H376" s="403"/>
      <c r="I376" s="406">
        <v>2000</v>
      </c>
      <c r="J376" s="407"/>
      <c r="K376" s="428"/>
      <c r="L376" s="859">
        <v>2000</v>
      </c>
      <c r="M376" s="861">
        <v>2000</v>
      </c>
      <c r="N376" s="856">
        <f t="shared" si="7"/>
        <v>0</v>
      </c>
      <c r="O376" s="19"/>
      <c r="P376" s="27"/>
      <c r="Q376" s="26"/>
      <c r="R376" s="26"/>
      <c r="S376" s="25"/>
    </row>
    <row r="377" spans="1:15" ht="13.5">
      <c r="A377" s="33">
        <v>363</v>
      </c>
      <c r="B377" s="62" t="s">
        <v>1</v>
      </c>
      <c r="C377" s="23"/>
      <c r="D377" s="22"/>
      <c r="E377" s="20">
        <v>1200</v>
      </c>
      <c r="F377" s="400">
        <v>1200</v>
      </c>
      <c r="G377" s="454">
        <v>1200</v>
      </c>
      <c r="H377" s="403">
        <v>7120</v>
      </c>
      <c r="I377" s="406">
        <v>2000</v>
      </c>
      <c r="J377" s="407"/>
      <c r="K377" s="428"/>
      <c r="L377" s="859">
        <v>2000</v>
      </c>
      <c r="M377" s="861">
        <v>2000</v>
      </c>
      <c r="N377" s="856">
        <f t="shared" si="7"/>
        <v>0</v>
      </c>
      <c r="O377" s="19"/>
    </row>
    <row r="378" spans="1:15" ht="13.5">
      <c r="A378" s="33">
        <v>364</v>
      </c>
      <c r="B378" s="62" t="s">
        <v>705</v>
      </c>
      <c r="C378" s="23"/>
      <c r="D378" s="22"/>
      <c r="E378" s="20">
        <v>2000</v>
      </c>
      <c r="F378" s="400">
        <v>2000</v>
      </c>
      <c r="G378" s="454">
        <v>2000</v>
      </c>
      <c r="H378" s="403"/>
      <c r="I378" s="406">
        <v>2000</v>
      </c>
      <c r="J378" s="407"/>
      <c r="K378" s="428"/>
      <c r="L378" s="859">
        <v>2000</v>
      </c>
      <c r="M378" s="861">
        <v>2000</v>
      </c>
      <c r="N378" s="856">
        <f t="shared" si="7"/>
        <v>0</v>
      </c>
      <c r="O378" s="19"/>
    </row>
    <row r="379" spans="1:15" ht="13.5">
      <c r="A379" s="33">
        <v>365</v>
      </c>
      <c r="B379" s="62" t="s">
        <v>706</v>
      </c>
      <c r="C379" s="23"/>
      <c r="D379" s="22"/>
      <c r="E379" s="20">
        <v>2000</v>
      </c>
      <c r="F379" s="400">
        <v>2000</v>
      </c>
      <c r="G379" s="454">
        <v>2000</v>
      </c>
      <c r="H379" s="403"/>
      <c r="I379" s="406">
        <v>2000</v>
      </c>
      <c r="J379" s="407"/>
      <c r="K379" s="428"/>
      <c r="L379" s="859">
        <v>2000</v>
      </c>
      <c r="M379" s="861">
        <v>2000</v>
      </c>
      <c r="N379" s="856">
        <f t="shared" si="7"/>
        <v>0</v>
      </c>
      <c r="O379" s="19"/>
    </row>
    <row r="380" spans="1:15" ht="13.5">
      <c r="A380" s="33">
        <v>366</v>
      </c>
      <c r="B380" s="62" t="s">
        <v>707</v>
      </c>
      <c r="C380" s="23"/>
      <c r="D380" s="22"/>
      <c r="E380" s="20">
        <v>2500</v>
      </c>
      <c r="F380" s="400">
        <v>2500</v>
      </c>
      <c r="G380" s="454">
        <v>2500</v>
      </c>
      <c r="H380" s="403"/>
      <c r="I380" s="406">
        <v>2500</v>
      </c>
      <c r="J380" s="407"/>
      <c r="K380" s="428"/>
      <c r="L380" s="859">
        <v>2500</v>
      </c>
      <c r="M380" s="861">
        <v>2500</v>
      </c>
      <c r="N380" s="856">
        <f t="shared" si="7"/>
        <v>0</v>
      </c>
      <c r="O380" s="19"/>
    </row>
    <row r="381" spans="1:15" ht="13.5">
      <c r="A381" s="33">
        <v>367</v>
      </c>
      <c r="B381" s="62" t="s">
        <v>708</v>
      </c>
      <c r="C381" s="23"/>
      <c r="D381" s="22"/>
      <c r="E381" s="20">
        <v>2000</v>
      </c>
      <c r="F381" s="400">
        <v>2000</v>
      </c>
      <c r="G381" s="454">
        <v>2000</v>
      </c>
      <c r="H381" s="403"/>
      <c r="I381" s="406">
        <v>2000</v>
      </c>
      <c r="J381" s="407"/>
      <c r="K381" s="428"/>
      <c r="L381" s="859">
        <v>2000</v>
      </c>
      <c r="M381" s="861">
        <v>2000</v>
      </c>
      <c r="N381" s="856">
        <f t="shared" si="7"/>
        <v>0</v>
      </c>
      <c r="O381" s="19"/>
    </row>
    <row r="382" spans="1:15" ht="13.5">
      <c r="A382" s="33">
        <v>368</v>
      </c>
      <c r="B382" s="62" t="s">
        <v>709</v>
      </c>
      <c r="C382" s="23"/>
      <c r="D382" s="22"/>
      <c r="E382" s="20">
        <v>2000</v>
      </c>
      <c r="F382" s="400">
        <v>2000</v>
      </c>
      <c r="G382" s="454">
        <v>2000</v>
      </c>
      <c r="H382" s="403"/>
      <c r="I382" s="406">
        <v>2000</v>
      </c>
      <c r="J382" s="407"/>
      <c r="K382" s="428"/>
      <c r="L382" s="859">
        <v>2000</v>
      </c>
      <c r="M382" s="861">
        <v>2000</v>
      </c>
      <c r="N382" s="856">
        <f t="shared" si="7"/>
        <v>0</v>
      </c>
      <c r="O382" s="19"/>
    </row>
    <row r="383" spans="1:15" ht="14.25" thickBot="1">
      <c r="A383" s="517">
        <v>369</v>
      </c>
      <c r="B383" s="591" t="s">
        <v>0</v>
      </c>
      <c r="C383" s="18"/>
      <c r="D383" s="17"/>
      <c r="E383" s="15">
        <v>2000</v>
      </c>
      <c r="F383" s="417">
        <v>2000</v>
      </c>
      <c r="G383" s="458">
        <v>2000</v>
      </c>
      <c r="H383" s="409"/>
      <c r="I383" s="583">
        <v>2000</v>
      </c>
      <c r="J383" s="518"/>
      <c r="K383" s="519"/>
      <c r="L383" s="860">
        <v>2000</v>
      </c>
      <c r="M383" s="862">
        <v>2000</v>
      </c>
      <c r="N383" s="863">
        <f t="shared" si="7"/>
        <v>0</v>
      </c>
      <c r="O383" s="14"/>
    </row>
    <row r="384" spans="1:15" ht="13.5">
      <c r="A384" s="600"/>
      <c r="B384" s="601"/>
      <c r="C384" s="11"/>
      <c r="D384" s="10"/>
      <c r="E384" s="9"/>
      <c r="F384" s="9"/>
      <c r="G384" s="9"/>
      <c r="H384" s="9"/>
      <c r="I384" s="602"/>
      <c r="J384" s="603"/>
      <c r="K384" s="603"/>
      <c r="L384" s="9"/>
      <c r="M384" s="9"/>
      <c r="N384" s="9"/>
      <c r="O384" s="8"/>
    </row>
    <row r="385" spans="1:15" ht="13.5">
      <c r="A385" s="600"/>
      <c r="B385" s="601"/>
      <c r="C385" s="11"/>
      <c r="D385" s="10"/>
      <c r="E385" s="9"/>
      <c r="F385" s="9"/>
      <c r="G385" s="9"/>
      <c r="H385" s="9"/>
      <c r="I385" s="602"/>
      <c r="J385" s="603"/>
      <c r="K385" s="603"/>
      <c r="L385" s="9">
        <f>SUM(L7,L34,L42,L46,L97,L150,L221,L288,L333)</f>
        <v>10770000</v>
      </c>
      <c r="M385" s="9">
        <f>SUM(M7,M34,M42,M46,M97,M150,M221,M288,M333)</f>
        <v>10770000.174999999</v>
      </c>
      <c r="N385" s="9">
        <f>SUM(N7,N34,N42,N46,N97,N150,N221,N288,N333)</f>
        <v>-0.17499999958090484</v>
      </c>
      <c r="O385" s="8"/>
    </row>
    <row r="386" spans="1:15" ht="13.5">
      <c r="A386" s="600"/>
      <c r="B386" s="644"/>
      <c r="C386" s="13"/>
      <c r="D386" s="12"/>
      <c r="E386" s="403"/>
      <c r="F386" s="403"/>
      <c r="G386" s="640"/>
      <c r="H386" s="403"/>
      <c r="I386" s="641"/>
      <c r="J386" s="642"/>
      <c r="K386" s="642"/>
      <c r="L386" s="403"/>
      <c r="M386" s="403"/>
      <c r="N386" s="9"/>
      <c r="O386" s="8"/>
    </row>
    <row r="387" spans="1:15" ht="13.5">
      <c r="A387" s="600"/>
      <c r="B387" s="644"/>
      <c r="C387" s="13"/>
      <c r="D387" s="12"/>
      <c r="E387" s="403"/>
      <c r="F387" s="403"/>
      <c r="G387" s="640"/>
      <c r="H387" s="403"/>
      <c r="I387" s="641"/>
      <c r="J387" s="642"/>
      <c r="K387" s="642"/>
      <c r="L387" s="403"/>
      <c r="M387" s="403"/>
      <c r="N387" s="9"/>
      <c r="O387" s="8"/>
    </row>
    <row r="388" spans="1:15" ht="13.5">
      <c r="A388" s="600"/>
      <c r="B388" s="644"/>
      <c r="C388" s="13"/>
      <c r="D388" s="12"/>
      <c r="E388" s="403"/>
      <c r="F388" s="403"/>
      <c r="G388" s="640"/>
      <c r="H388" s="403"/>
      <c r="I388" s="641"/>
      <c r="J388" s="642"/>
      <c r="K388" s="642"/>
      <c r="L388" s="403"/>
      <c r="M388" s="403"/>
      <c r="N388" s="9"/>
      <c r="O388" s="8"/>
    </row>
    <row r="389" spans="1:15" ht="13.5">
      <c r="A389" s="600"/>
      <c r="B389" s="644"/>
      <c r="C389" s="13"/>
      <c r="D389" s="12"/>
      <c r="E389" s="403"/>
      <c r="F389" s="403"/>
      <c r="G389" s="640"/>
      <c r="H389" s="403"/>
      <c r="I389" s="641"/>
      <c r="J389" s="642"/>
      <c r="K389" s="642"/>
      <c r="L389" s="403"/>
      <c r="M389" s="403"/>
      <c r="N389" s="9"/>
      <c r="O389" s="8"/>
    </row>
    <row r="390" spans="1:15" ht="13.5">
      <c r="A390" s="600"/>
      <c r="B390" s="601"/>
      <c r="C390" s="11"/>
      <c r="D390" s="10"/>
      <c r="E390" s="9"/>
      <c r="F390" s="9"/>
      <c r="G390" s="9"/>
      <c r="H390" s="9"/>
      <c r="I390" s="602"/>
      <c r="J390" s="603"/>
      <c r="K390" s="603"/>
      <c r="L390" s="9"/>
      <c r="M390" s="9"/>
      <c r="N390" s="9"/>
      <c r="O390" s="8"/>
    </row>
    <row r="391" spans="1:15" ht="13.5">
      <c r="A391" s="600"/>
      <c r="B391" s="601"/>
      <c r="C391" s="11"/>
      <c r="D391" s="10"/>
      <c r="E391" s="9"/>
      <c r="F391" s="9"/>
      <c r="G391" s="9"/>
      <c r="H391" s="9"/>
      <c r="I391" s="602"/>
      <c r="J391" s="603"/>
      <c r="K391" s="603"/>
      <c r="L391" s="9"/>
      <c r="M391" s="9"/>
      <c r="N391" s="9"/>
      <c r="O391" s="8"/>
    </row>
    <row r="392" spans="1:15" ht="13.5">
      <c r="A392" s="600"/>
      <c r="B392" s="601"/>
      <c r="C392" s="11"/>
      <c r="D392" s="10"/>
      <c r="E392" s="9"/>
      <c r="F392" s="9"/>
      <c r="G392" s="643"/>
      <c r="H392" s="9"/>
      <c r="I392" s="602"/>
      <c r="J392" s="603"/>
      <c r="K392" s="603"/>
      <c r="L392" s="9"/>
      <c r="M392" s="9"/>
      <c r="N392" s="9"/>
      <c r="O392" s="8"/>
    </row>
    <row r="393" spans="1:15" ht="13.5">
      <c r="A393" s="600"/>
      <c r="B393" s="601"/>
      <c r="C393" s="11"/>
      <c r="D393" s="10"/>
      <c r="E393" s="9"/>
      <c r="F393" s="9"/>
      <c r="G393" s="643"/>
      <c r="H393" s="9"/>
      <c r="I393" s="602"/>
      <c r="J393" s="603"/>
      <c r="K393" s="603"/>
      <c r="L393" s="9"/>
      <c r="M393" s="9"/>
      <c r="N393" s="9"/>
      <c r="O393" s="8"/>
    </row>
    <row r="394" spans="1:15" ht="13.5">
      <c r="A394" s="600"/>
      <c r="B394" s="601"/>
      <c r="C394" s="11"/>
      <c r="D394" s="10"/>
      <c r="E394" s="9"/>
      <c r="F394" s="9"/>
      <c r="G394" s="9"/>
      <c r="H394" s="9"/>
      <c r="I394" s="602"/>
      <c r="J394" s="603"/>
      <c r="K394" s="603"/>
      <c r="L394" s="9"/>
      <c r="M394" s="9"/>
      <c r="N394" s="9"/>
      <c r="O394" s="8"/>
    </row>
    <row r="395" spans="1:15" ht="13.5">
      <c r="A395" s="600"/>
      <c r="B395" s="601"/>
      <c r="C395" s="11"/>
      <c r="D395" s="10"/>
      <c r="E395" s="9"/>
      <c r="F395" s="9"/>
      <c r="G395" s="9"/>
      <c r="H395" s="9"/>
      <c r="I395" s="602"/>
      <c r="J395" s="603"/>
      <c r="K395" s="603"/>
      <c r="L395" s="9"/>
      <c r="M395" s="9"/>
      <c r="N395" s="9"/>
      <c r="O395" s="8"/>
    </row>
    <row r="396" spans="1:15" ht="13.5">
      <c r="A396" s="600"/>
      <c r="B396" s="601"/>
      <c r="C396" s="11"/>
      <c r="D396" s="10"/>
      <c r="E396" s="9"/>
      <c r="F396" s="9"/>
      <c r="G396" s="9"/>
      <c r="H396" s="9"/>
      <c r="I396" s="602"/>
      <c r="J396" s="603"/>
      <c r="K396" s="603"/>
      <c r="L396" s="9"/>
      <c r="M396" s="9"/>
      <c r="N396" s="815"/>
      <c r="O396" s="8"/>
    </row>
    <row r="397" spans="1:15" ht="13.5">
      <c r="A397" s="600"/>
      <c r="B397" s="601"/>
      <c r="C397" s="11"/>
      <c r="D397" s="10"/>
      <c r="E397" s="9"/>
      <c r="F397" s="9"/>
      <c r="G397" s="9"/>
      <c r="H397" s="9"/>
      <c r="I397" s="602"/>
      <c r="J397" s="603"/>
      <c r="K397" s="603"/>
      <c r="L397" s="9"/>
      <c r="M397" s="9"/>
      <c r="N397" s="9"/>
      <c r="O397" s="8"/>
    </row>
    <row r="398" spans="1:15" ht="13.5">
      <c r="A398" s="600"/>
      <c r="B398" s="601"/>
      <c r="C398" s="11"/>
      <c r="D398" s="10"/>
      <c r="E398" s="9"/>
      <c r="F398" s="9"/>
      <c r="G398" s="9"/>
      <c r="H398" s="9"/>
      <c r="I398" s="602"/>
      <c r="J398" s="603"/>
      <c r="K398" s="603"/>
      <c r="L398" s="9"/>
      <c r="M398" s="9"/>
      <c r="N398" s="9"/>
      <c r="O398" s="8"/>
    </row>
    <row r="399" spans="5:14" ht="13.5">
      <c r="E399" s="7"/>
      <c r="F399" s="7"/>
      <c r="G399" s="7"/>
      <c r="H399" s="7"/>
      <c r="I399" s="604"/>
      <c r="K399" s="466"/>
      <c r="L399" s="814"/>
      <c r="M399" s="7"/>
      <c r="N399" s="7"/>
    </row>
    <row r="400" spans="5:14" ht="13.5">
      <c r="E400" s="7"/>
      <c r="F400" s="7"/>
      <c r="G400" s="7"/>
      <c r="H400" s="7"/>
      <c r="I400" s="604"/>
      <c r="K400" s="466"/>
      <c r="L400" s="7"/>
      <c r="M400" s="7"/>
      <c r="N400" s="7"/>
    </row>
    <row r="401" spans="5:14" ht="13.5">
      <c r="E401" s="7"/>
      <c r="F401" s="7"/>
      <c r="G401" s="7"/>
      <c r="H401" s="7"/>
      <c r="I401" s="604"/>
      <c r="K401" s="466"/>
      <c r="L401" s="7"/>
      <c r="M401" s="7"/>
      <c r="N401" s="7"/>
    </row>
    <row r="402" spans="5:14" ht="13.5">
      <c r="E402" s="7"/>
      <c r="F402" s="7"/>
      <c r="G402" s="7"/>
      <c r="H402" s="7"/>
      <c r="I402" s="604"/>
      <c r="K402" s="466"/>
      <c r="L402" s="7"/>
      <c r="M402" s="7"/>
      <c r="N402" s="7"/>
    </row>
    <row r="403" spans="5:14" ht="13.5">
      <c r="E403" s="7"/>
      <c r="F403" s="7"/>
      <c r="G403" s="7"/>
      <c r="H403" s="7"/>
      <c r="I403" s="604"/>
      <c r="K403" s="466"/>
      <c r="L403" s="7"/>
      <c r="M403" s="7"/>
      <c r="N403" s="7"/>
    </row>
    <row r="404" spans="5:14" ht="13.5">
      <c r="E404" s="7"/>
      <c r="F404" s="7"/>
      <c r="G404" s="7"/>
      <c r="H404" s="7"/>
      <c r="I404" s="604"/>
      <c r="K404" s="466"/>
      <c r="L404" s="7"/>
      <c r="M404" s="7"/>
      <c r="N404" s="7"/>
    </row>
    <row r="405" spans="5:14" ht="13.5">
      <c r="E405" s="7"/>
      <c r="F405" s="7"/>
      <c r="G405" s="7"/>
      <c r="H405" s="7"/>
      <c r="I405" s="604"/>
      <c r="K405" s="466"/>
      <c r="L405" s="7"/>
      <c r="M405" s="7"/>
      <c r="N405" s="7"/>
    </row>
    <row r="406" spans="5:14" ht="13.5">
      <c r="E406" s="6"/>
      <c r="F406" s="6"/>
      <c r="G406" s="6"/>
      <c r="H406" s="6"/>
      <c r="I406" s="604"/>
      <c r="K406" s="466"/>
      <c r="L406" s="6"/>
      <c r="M406" s="6"/>
      <c r="N406" s="7"/>
    </row>
    <row r="407" spans="5:14" ht="13.5">
      <c r="E407" s="6"/>
      <c r="F407" s="6"/>
      <c r="G407" s="6"/>
      <c r="H407" s="6"/>
      <c r="I407" s="604"/>
      <c r="K407" s="466"/>
      <c r="L407" s="6"/>
      <c r="M407" s="6"/>
      <c r="N407" s="7"/>
    </row>
    <row r="408" spans="5:14" ht="13.5">
      <c r="E408" s="6"/>
      <c r="F408" s="6"/>
      <c r="G408" s="6"/>
      <c r="H408" s="6"/>
      <c r="I408" s="604"/>
      <c r="K408" s="466"/>
      <c r="L408" s="6"/>
      <c r="M408" s="6"/>
      <c r="N408" s="7"/>
    </row>
    <row r="409" spans="5:14" ht="13.5">
      <c r="E409" s="6"/>
      <c r="F409" s="6"/>
      <c r="G409" s="6"/>
      <c r="H409" s="6"/>
      <c r="I409" s="604"/>
      <c r="K409" s="466"/>
      <c r="L409" s="6"/>
      <c r="M409" s="6"/>
      <c r="N409" s="7"/>
    </row>
    <row r="410" spans="1:15" ht="13.5">
      <c r="A410" s="464"/>
      <c r="C410" s="464"/>
      <c r="D410" s="605"/>
      <c r="E410" s="6"/>
      <c r="F410" s="6"/>
      <c r="G410" s="6"/>
      <c r="H410" s="6"/>
      <c r="I410" s="604"/>
      <c r="K410" s="466"/>
      <c r="L410" s="6"/>
      <c r="M410" s="6"/>
      <c r="N410" s="7"/>
      <c r="O410" s="606"/>
    </row>
    <row r="411" spans="1:15" ht="13.5">
      <c r="A411" s="464"/>
      <c r="C411" s="464"/>
      <c r="D411" s="605"/>
      <c r="E411" s="6"/>
      <c r="F411" s="6"/>
      <c r="G411" s="6"/>
      <c r="H411" s="6"/>
      <c r="I411" s="604"/>
      <c r="K411" s="466"/>
      <c r="L411" s="6"/>
      <c r="M411" s="6"/>
      <c r="N411" s="7"/>
      <c r="O411" s="606"/>
    </row>
    <row r="412" spans="1:15" ht="13.5">
      <c r="A412" s="464"/>
      <c r="C412" s="464"/>
      <c r="D412" s="605"/>
      <c r="E412" s="6"/>
      <c r="F412" s="6"/>
      <c r="G412" s="6"/>
      <c r="H412" s="6"/>
      <c r="I412" s="604"/>
      <c r="K412" s="466"/>
      <c r="L412" s="6"/>
      <c r="M412" s="6"/>
      <c r="N412" s="7"/>
      <c r="O412" s="606"/>
    </row>
    <row r="413" spans="1:15" ht="13.5">
      <c r="A413" s="464"/>
      <c r="C413" s="464"/>
      <c r="D413" s="605"/>
      <c r="E413" s="6"/>
      <c r="F413" s="6"/>
      <c r="G413" s="6"/>
      <c r="H413" s="6"/>
      <c r="I413" s="604"/>
      <c r="K413" s="466"/>
      <c r="L413" s="6"/>
      <c r="M413" s="6"/>
      <c r="N413" s="7"/>
      <c r="O413" s="606"/>
    </row>
    <row r="414" spans="5:14" ht="13.5">
      <c r="E414" s="6"/>
      <c r="F414" s="6"/>
      <c r="G414" s="6"/>
      <c r="H414" s="6"/>
      <c r="I414" s="604"/>
      <c r="K414" s="466"/>
      <c r="L414" s="6"/>
      <c r="M414" s="6"/>
      <c r="N414" s="7"/>
    </row>
    <row r="415" spans="5:14" ht="13.5">
      <c r="E415" s="6"/>
      <c r="F415" s="6"/>
      <c r="G415" s="6"/>
      <c r="H415" s="6"/>
      <c r="I415" s="604"/>
      <c r="K415" s="466"/>
      <c r="L415" s="6"/>
      <c r="M415" s="6"/>
      <c r="N415" s="7"/>
    </row>
    <row r="416" spans="5:14" ht="13.5">
      <c r="E416" s="6"/>
      <c r="F416" s="6"/>
      <c r="G416" s="6"/>
      <c r="H416" s="6"/>
      <c r="I416" s="604"/>
      <c r="K416" s="466"/>
      <c r="L416" s="6"/>
      <c r="M416" s="6"/>
      <c r="N416" s="7"/>
    </row>
    <row r="417" spans="5:14" ht="13.5">
      <c r="E417" s="6"/>
      <c r="F417" s="6"/>
      <c r="G417" s="6"/>
      <c r="H417" s="6"/>
      <c r="I417" s="604"/>
      <c r="K417" s="466"/>
      <c r="L417" s="6"/>
      <c r="M417" s="6"/>
      <c r="N417" s="7"/>
    </row>
    <row r="418" spans="5:14" ht="13.5">
      <c r="E418" s="6"/>
      <c r="F418" s="6"/>
      <c r="G418" s="6"/>
      <c r="H418" s="6"/>
      <c r="I418" s="604"/>
      <c r="K418" s="466"/>
      <c r="L418" s="6"/>
      <c r="M418" s="6"/>
      <c r="N418" s="7"/>
    </row>
    <row r="419" spans="5:14" ht="13.5">
      <c r="E419" s="6"/>
      <c r="F419" s="6"/>
      <c r="G419" s="6"/>
      <c r="H419" s="6"/>
      <c r="I419" s="604"/>
      <c r="K419" s="466"/>
      <c r="L419" s="6"/>
      <c r="M419" s="6"/>
      <c r="N419" s="7"/>
    </row>
    <row r="420" spans="5:14" ht="13.5">
      <c r="E420" s="6"/>
      <c r="F420" s="6"/>
      <c r="G420" s="6"/>
      <c r="H420" s="6"/>
      <c r="I420" s="604"/>
      <c r="K420" s="466"/>
      <c r="L420" s="6"/>
      <c r="M420" s="6"/>
      <c r="N420" s="7"/>
    </row>
    <row r="421" spans="5:14" ht="13.5">
      <c r="E421" s="6"/>
      <c r="F421" s="6"/>
      <c r="G421" s="6"/>
      <c r="H421" s="6"/>
      <c r="I421" s="604"/>
      <c r="K421" s="466"/>
      <c r="L421" s="6"/>
      <c r="M421" s="6"/>
      <c r="N421" s="7"/>
    </row>
    <row r="422" spans="5:14" ht="13.5">
      <c r="E422" s="6"/>
      <c r="F422" s="6"/>
      <c r="G422" s="6"/>
      <c r="H422" s="6"/>
      <c r="I422" s="604"/>
      <c r="K422" s="466"/>
      <c r="L422" s="6"/>
      <c r="M422" s="6"/>
      <c r="N422" s="7"/>
    </row>
    <row r="423" spans="5:14" ht="13.5">
      <c r="E423" s="6"/>
      <c r="F423" s="6"/>
      <c r="G423" s="6"/>
      <c r="H423" s="6"/>
      <c r="I423" s="604"/>
      <c r="K423" s="466"/>
      <c r="L423" s="6"/>
      <c r="M423" s="6"/>
      <c r="N423" s="7"/>
    </row>
    <row r="424" spans="5:14" ht="13.5">
      <c r="E424" s="6"/>
      <c r="F424" s="6"/>
      <c r="G424" s="6"/>
      <c r="H424" s="6"/>
      <c r="I424" s="604"/>
      <c r="K424" s="466"/>
      <c r="L424" s="6"/>
      <c r="M424" s="6"/>
      <c r="N424" s="7"/>
    </row>
    <row r="425" spans="5:14" ht="13.5">
      <c r="E425" s="6"/>
      <c r="F425" s="6"/>
      <c r="G425" s="6"/>
      <c r="H425" s="6"/>
      <c r="I425" s="604"/>
      <c r="K425" s="466"/>
      <c r="L425" s="6"/>
      <c r="M425" s="6"/>
      <c r="N425" s="7"/>
    </row>
    <row r="426" spans="5:14" ht="13.5">
      <c r="E426" s="6"/>
      <c r="F426" s="6"/>
      <c r="G426" s="6"/>
      <c r="H426" s="6"/>
      <c r="I426" s="604"/>
      <c r="K426" s="466"/>
      <c r="L426" s="6"/>
      <c r="M426" s="6"/>
      <c r="N426" s="7"/>
    </row>
    <row r="427" spans="5:14" ht="13.5">
      <c r="E427" s="6"/>
      <c r="F427" s="6"/>
      <c r="G427" s="6"/>
      <c r="H427" s="6"/>
      <c r="I427" s="604"/>
      <c r="K427" s="466"/>
      <c r="L427" s="6"/>
      <c r="M427" s="6"/>
      <c r="N427" s="7"/>
    </row>
    <row r="428" spans="5:14" ht="13.5">
      <c r="E428" s="6"/>
      <c r="F428" s="6"/>
      <c r="G428" s="6"/>
      <c r="H428" s="6"/>
      <c r="I428" s="604"/>
      <c r="K428" s="466"/>
      <c r="L428" s="6"/>
      <c r="M428" s="6"/>
      <c r="N428" s="7"/>
    </row>
    <row r="429" spans="5:14" ht="13.5">
      <c r="E429" s="6"/>
      <c r="F429" s="6"/>
      <c r="G429" s="6"/>
      <c r="H429" s="6"/>
      <c r="I429" s="604"/>
      <c r="K429" s="466"/>
      <c r="L429" s="6"/>
      <c r="M429" s="6"/>
      <c r="N429" s="7"/>
    </row>
    <row r="430" spans="5:14" ht="13.5">
      <c r="E430" s="6"/>
      <c r="F430" s="6"/>
      <c r="G430" s="6"/>
      <c r="H430" s="6"/>
      <c r="I430" s="604"/>
      <c r="K430" s="466"/>
      <c r="L430" s="6"/>
      <c r="M430" s="6"/>
      <c r="N430" s="7"/>
    </row>
    <row r="431" spans="5:14" ht="13.5">
      <c r="E431" s="6"/>
      <c r="F431" s="6"/>
      <c r="G431" s="6"/>
      <c r="H431" s="6"/>
      <c r="I431" s="604"/>
      <c r="K431" s="466"/>
      <c r="L431" s="6"/>
      <c r="M431" s="6"/>
      <c r="N431" s="7"/>
    </row>
    <row r="432" spans="5:14" ht="13.5">
      <c r="E432" s="6"/>
      <c r="F432" s="6"/>
      <c r="G432" s="6"/>
      <c r="H432" s="6"/>
      <c r="I432" s="604"/>
      <c r="K432" s="466"/>
      <c r="L432" s="6"/>
      <c r="M432" s="6"/>
      <c r="N432" s="7"/>
    </row>
    <row r="433" spans="5:14" ht="13.5">
      <c r="E433" s="6"/>
      <c r="F433" s="6"/>
      <c r="G433" s="6"/>
      <c r="H433" s="6"/>
      <c r="I433" s="604"/>
      <c r="K433" s="466"/>
      <c r="L433" s="6"/>
      <c r="M433" s="6"/>
      <c r="N433" s="7"/>
    </row>
    <row r="434" spans="5:14" ht="13.5">
      <c r="E434" s="6"/>
      <c r="F434" s="6"/>
      <c r="G434" s="6"/>
      <c r="H434" s="6"/>
      <c r="I434" s="604"/>
      <c r="K434" s="466"/>
      <c r="L434" s="6"/>
      <c r="M434" s="6"/>
      <c r="N434" s="7"/>
    </row>
    <row r="435" spans="5:14" ht="13.5">
      <c r="E435" s="6"/>
      <c r="F435" s="6"/>
      <c r="G435" s="6"/>
      <c r="H435" s="6"/>
      <c r="I435" s="604"/>
      <c r="K435" s="466"/>
      <c r="L435" s="6"/>
      <c r="M435" s="6"/>
      <c r="N435" s="7"/>
    </row>
    <row r="436" spans="5:14" ht="13.5">
      <c r="E436" s="6"/>
      <c r="F436" s="6"/>
      <c r="G436" s="6"/>
      <c r="H436" s="6"/>
      <c r="I436" s="604"/>
      <c r="K436" s="466"/>
      <c r="L436" s="6"/>
      <c r="M436" s="6"/>
      <c r="N436" s="7"/>
    </row>
    <row r="437" spans="5:14" ht="13.5">
      <c r="E437" s="6"/>
      <c r="F437" s="6"/>
      <c r="G437" s="6"/>
      <c r="H437" s="6"/>
      <c r="I437" s="604"/>
      <c r="K437" s="466"/>
      <c r="L437" s="6"/>
      <c r="M437" s="6"/>
      <c r="N437" s="7"/>
    </row>
    <row r="438" spans="5:14" ht="13.5">
      <c r="E438" s="6"/>
      <c r="F438" s="6"/>
      <c r="G438" s="6"/>
      <c r="H438" s="6"/>
      <c r="I438" s="604"/>
      <c r="K438" s="466"/>
      <c r="L438" s="6"/>
      <c r="M438" s="6"/>
      <c r="N438" s="7"/>
    </row>
    <row r="439" spans="5:14" ht="13.5">
      <c r="E439" s="6"/>
      <c r="F439" s="6"/>
      <c r="G439" s="6"/>
      <c r="H439" s="6"/>
      <c r="I439" s="604"/>
      <c r="K439" s="466"/>
      <c r="L439" s="6"/>
      <c r="M439" s="6"/>
      <c r="N439" s="7"/>
    </row>
    <row r="440" spans="5:14" ht="13.5">
      <c r="E440" s="6"/>
      <c r="F440" s="6"/>
      <c r="G440" s="6"/>
      <c r="H440" s="6"/>
      <c r="I440" s="604"/>
      <c r="K440" s="466"/>
      <c r="L440" s="6"/>
      <c r="M440" s="6"/>
      <c r="N440" s="7"/>
    </row>
    <row r="441" spans="5:14" ht="13.5">
      <c r="E441" s="6"/>
      <c r="F441" s="6"/>
      <c r="G441" s="6"/>
      <c r="H441" s="6"/>
      <c r="I441" s="604"/>
      <c r="K441" s="466"/>
      <c r="L441" s="6"/>
      <c r="M441" s="6"/>
      <c r="N441" s="7"/>
    </row>
    <row r="442" spans="5:14" ht="13.5">
      <c r="E442" s="6"/>
      <c r="F442" s="6"/>
      <c r="G442" s="6"/>
      <c r="H442" s="6"/>
      <c r="I442" s="604"/>
      <c r="K442" s="466"/>
      <c r="L442" s="6"/>
      <c r="M442" s="6"/>
      <c r="N442" s="7"/>
    </row>
    <row r="443" spans="5:14" ht="13.5">
      <c r="E443" s="6"/>
      <c r="F443" s="6"/>
      <c r="G443" s="6"/>
      <c r="H443" s="6"/>
      <c r="I443" s="604"/>
      <c r="K443" s="466"/>
      <c r="L443" s="6"/>
      <c r="M443" s="6"/>
      <c r="N443" s="7"/>
    </row>
    <row r="444" spans="5:14" ht="13.5">
      <c r="E444" s="6"/>
      <c r="F444" s="6"/>
      <c r="G444" s="6"/>
      <c r="H444" s="6"/>
      <c r="I444" s="604"/>
      <c r="K444" s="466"/>
      <c r="L444" s="6"/>
      <c r="M444" s="6"/>
      <c r="N444" s="7"/>
    </row>
    <row r="445" spans="5:14" ht="13.5">
      <c r="E445" s="6"/>
      <c r="F445" s="6"/>
      <c r="G445" s="6"/>
      <c r="H445" s="6"/>
      <c r="I445" s="604"/>
      <c r="K445" s="466"/>
      <c r="L445" s="6"/>
      <c r="M445" s="6"/>
      <c r="N445" s="7"/>
    </row>
    <row r="446" spans="5:14" ht="13.5">
      <c r="E446" s="6"/>
      <c r="F446" s="6"/>
      <c r="G446" s="6"/>
      <c r="H446" s="6"/>
      <c r="I446" s="604"/>
      <c r="K446" s="466"/>
      <c r="L446" s="6"/>
      <c r="M446" s="6"/>
      <c r="N446" s="7"/>
    </row>
    <row r="447" spans="5:14" ht="13.5">
      <c r="E447" s="6"/>
      <c r="F447" s="6"/>
      <c r="G447" s="6"/>
      <c r="H447" s="6"/>
      <c r="I447" s="604"/>
      <c r="K447" s="466"/>
      <c r="L447" s="6"/>
      <c r="M447" s="6"/>
      <c r="N447" s="7"/>
    </row>
    <row r="448" spans="5:14" ht="13.5">
      <c r="E448" s="6"/>
      <c r="F448" s="6"/>
      <c r="G448" s="6"/>
      <c r="H448" s="6"/>
      <c r="I448" s="604"/>
      <c r="K448" s="466"/>
      <c r="L448" s="6"/>
      <c r="M448" s="6"/>
      <c r="N448" s="7"/>
    </row>
    <row r="449" spans="5:14" ht="13.5">
      <c r="E449" s="6"/>
      <c r="F449" s="6"/>
      <c r="G449" s="6"/>
      <c r="H449" s="6"/>
      <c r="I449" s="604"/>
      <c r="K449" s="466"/>
      <c r="L449" s="6"/>
      <c r="M449" s="6"/>
      <c r="N449" s="7"/>
    </row>
    <row r="450" spans="5:14" ht="13.5">
      <c r="E450" s="6"/>
      <c r="F450" s="6"/>
      <c r="G450" s="6"/>
      <c r="H450" s="6"/>
      <c r="I450" s="604"/>
      <c r="K450" s="466"/>
      <c r="L450" s="6"/>
      <c r="M450" s="6"/>
      <c r="N450" s="7"/>
    </row>
    <row r="451" spans="5:14" ht="13.5">
      <c r="E451" s="6"/>
      <c r="F451" s="6"/>
      <c r="G451" s="6"/>
      <c r="H451" s="6"/>
      <c r="I451" s="604"/>
      <c r="K451" s="466"/>
      <c r="L451" s="6"/>
      <c r="M451" s="6"/>
      <c r="N451" s="7"/>
    </row>
    <row r="452" spans="5:14" ht="13.5">
      <c r="E452" s="6"/>
      <c r="F452" s="6"/>
      <c r="G452" s="6"/>
      <c r="H452" s="6"/>
      <c r="I452" s="604"/>
      <c r="K452" s="466"/>
      <c r="L452" s="6"/>
      <c r="M452" s="6"/>
      <c r="N452" s="7"/>
    </row>
    <row r="453" spans="5:14" ht="13.5">
      <c r="E453" s="6"/>
      <c r="F453" s="6"/>
      <c r="G453" s="6"/>
      <c r="H453" s="6"/>
      <c r="I453" s="604"/>
      <c r="K453" s="466"/>
      <c r="L453" s="6"/>
      <c r="M453" s="6"/>
      <c r="N453" s="7"/>
    </row>
    <row r="454" spans="5:14" ht="13.5">
      <c r="E454" s="6"/>
      <c r="F454" s="6"/>
      <c r="G454" s="6"/>
      <c r="H454" s="6"/>
      <c r="I454" s="604"/>
      <c r="K454" s="466"/>
      <c r="L454" s="6"/>
      <c r="M454" s="6"/>
      <c r="N454" s="7"/>
    </row>
    <row r="455" spans="5:14" ht="13.5">
      <c r="E455" s="6"/>
      <c r="F455" s="6"/>
      <c r="G455" s="6"/>
      <c r="H455" s="6"/>
      <c r="I455" s="604"/>
      <c r="K455" s="466"/>
      <c r="L455" s="6"/>
      <c r="M455" s="6"/>
      <c r="N455" s="7"/>
    </row>
    <row r="456" spans="5:14" ht="13.5">
      <c r="E456" s="6"/>
      <c r="F456" s="6"/>
      <c r="G456" s="6"/>
      <c r="H456" s="6"/>
      <c r="I456" s="604"/>
      <c r="K456" s="466"/>
      <c r="L456" s="6"/>
      <c r="M456" s="6"/>
      <c r="N456" s="7"/>
    </row>
    <row r="457" spans="5:14" ht="13.5">
      <c r="E457" s="6"/>
      <c r="F457" s="6"/>
      <c r="G457" s="6"/>
      <c r="H457" s="6"/>
      <c r="I457" s="604"/>
      <c r="K457" s="466"/>
      <c r="L457" s="6"/>
      <c r="M457" s="6"/>
      <c r="N457" s="7"/>
    </row>
    <row r="458" spans="5:14" ht="13.5">
      <c r="E458" s="6"/>
      <c r="F458" s="6"/>
      <c r="G458" s="6"/>
      <c r="H458" s="6"/>
      <c r="I458" s="604"/>
      <c r="K458" s="466"/>
      <c r="L458" s="6"/>
      <c r="M458" s="6"/>
      <c r="N458" s="7"/>
    </row>
    <row r="459" spans="5:14" ht="13.5">
      <c r="E459" s="6"/>
      <c r="F459" s="6"/>
      <c r="G459" s="6"/>
      <c r="H459" s="6"/>
      <c r="I459" s="604"/>
      <c r="K459" s="466"/>
      <c r="L459" s="6"/>
      <c r="M459" s="6"/>
      <c r="N459" s="7"/>
    </row>
    <row r="460" spans="9:11" ht="13.5">
      <c r="I460" s="604"/>
      <c r="K460" s="466"/>
    </row>
    <row r="461" spans="9:11" ht="13.5">
      <c r="I461" s="604"/>
      <c r="K461" s="466"/>
    </row>
    <row r="462" spans="9:11" ht="13.5">
      <c r="I462" s="604"/>
      <c r="K462" s="466"/>
    </row>
    <row r="463" spans="9:11" ht="13.5">
      <c r="I463" s="604"/>
      <c r="K463" s="466"/>
    </row>
    <row r="464" spans="9:11" ht="13.5">
      <c r="I464" s="604"/>
      <c r="K464" s="466"/>
    </row>
    <row r="465" spans="9:11" ht="13.5">
      <c r="I465" s="604"/>
      <c r="K465" s="466"/>
    </row>
    <row r="466" spans="9:11" ht="13.5">
      <c r="I466" s="604"/>
      <c r="K466" s="466"/>
    </row>
    <row r="467" spans="9:11" ht="13.5">
      <c r="I467" s="604"/>
      <c r="K467" s="466"/>
    </row>
    <row r="468" spans="9:11" ht="13.5">
      <c r="I468" s="604"/>
      <c r="K468" s="466"/>
    </row>
    <row r="469" spans="9:11" ht="13.5">
      <c r="I469" s="604"/>
      <c r="K469" s="466"/>
    </row>
    <row r="470" spans="9:11" ht="13.5">
      <c r="I470" s="604"/>
      <c r="K470" s="466"/>
    </row>
    <row r="471" spans="9:11" ht="13.5">
      <c r="I471" s="604"/>
      <c r="K471" s="466"/>
    </row>
    <row r="472" spans="9:11" ht="13.5">
      <c r="I472" s="604"/>
      <c r="K472" s="466"/>
    </row>
    <row r="473" spans="9:11" ht="13.5">
      <c r="I473" s="604"/>
      <c r="K473" s="466"/>
    </row>
    <row r="474" spans="9:11" ht="13.5">
      <c r="I474" s="604"/>
      <c r="K474" s="466"/>
    </row>
    <row r="475" spans="9:11" ht="13.5">
      <c r="I475" s="604"/>
      <c r="K475" s="466"/>
    </row>
    <row r="476" spans="9:11" ht="13.5">
      <c r="I476" s="604"/>
      <c r="K476" s="466"/>
    </row>
    <row r="477" spans="9:11" ht="13.5">
      <c r="I477" s="604"/>
      <c r="K477" s="466"/>
    </row>
    <row r="478" spans="9:11" ht="13.5">
      <c r="I478" s="604"/>
      <c r="K478" s="466"/>
    </row>
    <row r="479" spans="9:11" ht="13.5">
      <c r="I479" s="604"/>
      <c r="K479" s="466"/>
    </row>
    <row r="480" spans="9:11" ht="13.5">
      <c r="I480" s="604"/>
      <c r="K480" s="466"/>
    </row>
    <row r="481" spans="9:11" ht="13.5">
      <c r="I481" s="604"/>
      <c r="K481" s="466"/>
    </row>
    <row r="482" spans="9:11" ht="13.5">
      <c r="I482" s="604"/>
      <c r="K482" s="466"/>
    </row>
    <row r="483" spans="9:11" ht="13.5">
      <c r="I483" s="604"/>
      <c r="K483" s="466"/>
    </row>
    <row r="484" spans="9:11" ht="13.5">
      <c r="I484" s="604"/>
      <c r="K484" s="466"/>
    </row>
    <row r="485" spans="9:11" ht="13.5">
      <c r="I485" s="604"/>
      <c r="K485" s="466"/>
    </row>
    <row r="486" spans="9:11" ht="13.5">
      <c r="I486" s="604"/>
      <c r="K486" s="466"/>
    </row>
    <row r="487" spans="9:11" ht="13.5">
      <c r="I487" s="604"/>
      <c r="K487" s="466"/>
    </row>
    <row r="488" spans="9:11" ht="13.5">
      <c r="I488" s="604"/>
      <c r="K488" s="466"/>
    </row>
    <row r="489" spans="9:11" ht="13.5">
      <c r="I489" s="604"/>
      <c r="K489" s="466"/>
    </row>
    <row r="490" spans="9:11" ht="13.5">
      <c r="I490" s="604"/>
      <c r="K490" s="466"/>
    </row>
    <row r="491" spans="9:11" ht="13.5">
      <c r="I491" s="604"/>
      <c r="K491" s="466"/>
    </row>
    <row r="492" spans="9:11" ht="13.5">
      <c r="I492" s="604"/>
      <c r="K492" s="466"/>
    </row>
    <row r="493" spans="9:11" ht="13.5">
      <c r="I493" s="604"/>
      <c r="K493" s="466"/>
    </row>
    <row r="494" spans="9:11" ht="13.5">
      <c r="I494" s="604"/>
      <c r="K494" s="466"/>
    </row>
    <row r="495" spans="9:11" ht="13.5">
      <c r="I495" s="604"/>
      <c r="K495" s="466"/>
    </row>
    <row r="496" spans="9:11" ht="13.5">
      <c r="I496" s="604"/>
      <c r="K496" s="466"/>
    </row>
    <row r="497" spans="9:11" ht="13.5">
      <c r="I497" s="604"/>
      <c r="K497" s="466"/>
    </row>
    <row r="498" spans="9:11" ht="13.5">
      <c r="I498" s="604"/>
      <c r="K498" s="466"/>
    </row>
    <row r="499" spans="9:11" ht="13.5">
      <c r="I499" s="604"/>
      <c r="K499" s="466"/>
    </row>
    <row r="500" spans="9:11" ht="13.5">
      <c r="I500" s="604"/>
      <c r="K500" s="466"/>
    </row>
    <row r="501" spans="9:11" ht="13.5">
      <c r="I501" s="604"/>
      <c r="K501" s="466"/>
    </row>
    <row r="502" spans="9:11" ht="13.5">
      <c r="I502" s="604"/>
      <c r="K502" s="466"/>
    </row>
    <row r="503" spans="9:11" ht="13.5">
      <c r="I503" s="604"/>
      <c r="K503" s="466"/>
    </row>
    <row r="504" spans="9:11" ht="13.5">
      <c r="I504" s="604"/>
      <c r="K504" s="466"/>
    </row>
    <row r="505" spans="9:11" ht="13.5">
      <c r="I505" s="604"/>
      <c r="K505" s="466"/>
    </row>
    <row r="506" spans="9:11" ht="13.5">
      <c r="I506" s="604"/>
      <c r="K506" s="466"/>
    </row>
    <row r="507" spans="9:11" ht="13.5">
      <c r="I507" s="604"/>
      <c r="K507" s="466"/>
    </row>
    <row r="508" spans="9:11" ht="13.5">
      <c r="I508" s="604"/>
      <c r="K508" s="466"/>
    </row>
    <row r="509" spans="9:11" ht="13.5">
      <c r="I509" s="604"/>
      <c r="K509" s="466"/>
    </row>
    <row r="510" spans="9:11" ht="13.5">
      <c r="I510" s="604"/>
      <c r="K510" s="466"/>
    </row>
    <row r="511" spans="9:11" ht="13.5">
      <c r="I511" s="604"/>
      <c r="K511" s="466"/>
    </row>
    <row r="512" spans="9:11" ht="13.5">
      <c r="I512" s="604"/>
      <c r="K512" s="466"/>
    </row>
    <row r="513" spans="9:11" ht="13.5">
      <c r="I513" s="604"/>
      <c r="K513" s="466"/>
    </row>
    <row r="514" spans="9:11" ht="13.5">
      <c r="I514" s="604"/>
      <c r="K514" s="466"/>
    </row>
    <row r="515" spans="9:11" ht="13.5">
      <c r="I515" s="604"/>
      <c r="K515" s="466"/>
    </row>
    <row r="516" spans="9:11" ht="13.5">
      <c r="I516" s="604"/>
      <c r="K516" s="466"/>
    </row>
    <row r="517" spans="9:11" ht="13.5">
      <c r="I517" s="604"/>
      <c r="K517" s="466"/>
    </row>
    <row r="518" spans="9:11" ht="13.5">
      <c r="I518" s="604"/>
      <c r="K518" s="466"/>
    </row>
    <row r="519" spans="9:11" ht="13.5">
      <c r="I519" s="604"/>
      <c r="K519" s="466"/>
    </row>
    <row r="520" spans="9:11" ht="13.5">
      <c r="I520" s="604"/>
      <c r="K520" s="466"/>
    </row>
    <row r="521" spans="9:11" ht="13.5">
      <c r="I521" s="604"/>
      <c r="K521" s="466"/>
    </row>
    <row r="522" spans="9:11" ht="13.5">
      <c r="I522" s="604"/>
      <c r="K522" s="466"/>
    </row>
    <row r="523" spans="9:11" ht="13.5">
      <c r="I523" s="604"/>
      <c r="K523" s="466"/>
    </row>
    <row r="524" spans="9:11" ht="13.5">
      <c r="I524" s="604"/>
      <c r="K524" s="466"/>
    </row>
    <row r="525" spans="9:11" ht="13.5">
      <c r="I525" s="604"/>
      <c r="K525" s="466"/>
    </row>
    <row r="526" spans="9:11" ht="13.5">
      <c r="I526" s="604"/>
      <c r="K526" s="466"/>
    </row>
    <row r="527" spans="9:11" ht="13.5">
      <c r="I527" s="604"/>
      <c r="K527" s="466"/>
    </row>
    <row r="528" spans="9:11" ht="13.5">
      <c r="I528" s="604"/>
      <c r="K528" s="466"/>
    </row>
    <row r="529" spans="9:11" ht="13.5">
      <c r="I529" s="604"/>
      <c r="K529" s="466"/>
    </row>
    <row r="530" spans="9:11" ht="13.5">
      <c r="I530" s="604"/>
      <c r="K530" s="466"/>
    </row>
    <row r="531" spans="9:11" ht="13.5">
      <c r="I531" s="604"/>
      <c r="K531" s="466"/>
    </row>
    <row r="532" spans="9:11" ht="13.5">
      <c r="I532" s="604"/>
      <c r="K532" s="466"/>
    </row>
    <row r="533" spans="9:11" ht="13.5">
      <c r="I533" s="604"/>
      <c r="K533" s="466"/>
    </row>
    <row r="534" spans="9:11" ht="13.5">
      <c r="I534" s="604"/>
      <c r="K534" s="466"/>
    </row>
    <row r="535" spans="9:11" ht="13.5">
      <c r="I535" s="604"/>
      <c r="K535" s="466"/>
    </row>
    <row r="536" spans="9:11" ht="13.5">
      <c r="I536" s="604"/>
      <c r="K536" s="466"/>
    </row>
    <row r="537" spans="9:11" ht="13.5">
      <c r="I537" s="604"/>
      <c r="K537" s="466"/>
    </row>
    <row r="538" spans="9:11" ht="13.5">
      <c r="I538" s="604"/>
      <c r="K538" s="466"/>
    </row>
    <row r="539" spans="9:11" ht="13.5">
      <c r="I539" s="604"/>
      <c r="K539" s="466"/>
    </row>
    <row r="540" spans="9:11" ht="13.5">
      <c r="I540" s="604"/>
      <c r="K540" s="466"/>
    </row>
    <row r="541" spans="9:11" ht="13.5">
      <c r="I541" s="604"/>
      <c r="K541" s="466"/>
    </row>
    <row r="542" spans="9:11" ht="13.5">
      <c r="I542" s="604"/>
      <c r="K542" s="466"/>
    </row>
    <row r="543" spans="9:11" ht="13.5">
      <c r="I543" s="604"/>
      <c r="K543" s="466"/>
    </row>
    <row r="544" spans="9:11" ht="13.5">
      <c r="I544" s="604"/>
      <c r="K544" s="466"/>
    </row>
    <row r="545" spans="9:11" ht="13.5">
      <c r="I545" s="604"/>
      <c r="K545" s="466"/>
    </row>
    <row r="546" spans="9:11" ht="13.5">
      <c r="I546" s="604"/>
      <c r="K546" s="466"/>
    </row>
    <row r="547" spans="9:11" ht="13.5">
      <c r="I547" s="604"/>
      <c r="K547" s="466">
        <v>-100000</v>
      </c>
    </row>
    <row r="548" spans="9:11" ht="13.5">
      <c r="I548" s="604"/>
      <c r="K548" s="466"/>
    </row>
    <row r="549" spans="9:11" ht="13.5">
      <c r="I549" s="604"/>
      <c r="K549" s="466"/>
    </row>
    <row r="550" spans="9:11" ht="13.5">
      <c r="I550" s="604"/>
      <c r="K550" s="466">
        <v>0</v>
      </c>
    </row>
    <row r="551" spans="9:11" ht="13.5">
      <c r="I551" s="604"/>
      <c r="K551" s="466"/>
    </row>
    <row r="552" spans="9:11" ht="13.5">
      <c r="I552" s="604"/>
      <c r="K552" s="466"/>
    </row>
    <row r="553" spans="9:11" ht="13.5">
      <c r="I553" s="604"/>
      <c r="K553" s="466">
        <v>0</v>
      </c>
    </row>
    <row r="554" spans="9:11" ht="13.5">
      <c r="I554" s="604"/>
      <c r="K554" s="466"/>
    </row>
    <row r="555" spans="9:11" ht="13.5">
      <c r="I555" s="604"/>
      <c r="K555" s="466"/>
    </row>
    <row r="556" spans="9:11" ht="13.5">
      <c r="I556" s="604"/>
      <c r="K556" s="466"/>
    </row>
    <row r="557" spans="9:11" ht="13.5">
      <c r="I557" s="604"/>
      <c r="K557" s="466"/>
    </row>
    <row r="558" spans="9:11" ht="13.5">
      <c r="I558" s="604"/>
      <c r="K558" s="466">
        <v>0</v>
      </c>
    </row>
    <row r="559" spans="9:11" ht="13.5">
      <c r="I559" s="604"/>
      <c r="K559" s="466"/>
    </row>
  </sheetData>
  <sheetProtection password="C538" sheet="1"/>
  <autoFilter ref="A6:O544"/>
  <printOptions/>
  <pageMargins left="0.25" right="0.25" top="0.25" bottom="0.25" header="0.3" footer="0.3"/>
  <pageSetup fitToHeight="0" fitToWidth="1" horizontalDpi="600" verticalDpi="600" orientation="landscape" scale="66" r:id="rId1"/>
  <headerFooter alignWithMargins="0">
    <oddHeader xml:space="preserve">&amp;C
&amp;R
  </oddHeader>
  </headerFooter>
  <rowBreaks count="6" manualBreakCount="6">
    <brk id="32" max="255" man="1"/>
    <brk id="95" max="255" man="1"/>
    <brk id="148" max="255" man="1"/>
    <brk id="219" max="255" man="1"/>
    <brk id="286" max="255" man="1"/>
    <brk id="331" max="255" man="1"/>
  </rowBreaks>
  <ignoredErrors>
    <ignoredError sqref="L46 M42" formulaRange="1"/>
    <ignoredError sqref="M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00390625" style="0" customWidth="1"/>
    <col min="5" max="5" width="12.57421875" style="385" customWidth="1"/>
    <col min="7" max="7" width="27.28125" style="0" customWidth="1"/>
  </cols>
  <sheetData>
    <row r="1" spans="1:7" ht="30">
      <c r="A1" s="609" t="s">
        <v>381</v>
      </c>
      <c r="B1" s="610" t="s">
        <v>382</v>
      </c>
      <c r="C1" s="611" t="s">
        <v>353</v>
      </c>
      <c r="G1" t="s">
        <v>569</v>
      </c>
    </row>
    <row r="2" spans="1:4" ht="15">
      <c r="A2" s="615" t="s">
        <v>570</v>
      </c>
      <c r="B2" s="614"/>
      <c r="C2" s="612"/>
      <c r="D2" s="645"/>
    </row>
    <row r="3" spans="1:7" ht="15">
      <c r="A3" s="613" t="s">
        <v>495</v>
      </c>
      <c r="B3" s="614">
        <v>75</v>
      </c>
      <c r="C3" s="616">
        <v>43875</v>
      </c>
      <c r="D3" s="645"/>
      <c r="G3" t="s">
        <v>570</v>
      </c>
    </row>
    <row r="4" spans="1:4" ht="15">
      <c r="A4" s="613"/>
      <c r="B4" s="614"/>
      <c r="C4" s="616"/>
      <c r="D4" s="645"/>
    </row>
    <row r="5" spans="1:3" ht="15">
      <c r="A5" s="609" t="s">
        <v>383</v>
      </c>
      <c r="B5" s="610"/>
      <c r="C5" s="612"/>
    </row>
    <row r="6" spans="1:3" ht="15">
      <c r="A6" s="613" t="s">
        <v>723</v>
      </c>
      <c r="B6" s="614"/>
      <c r="C6" s="612">
        <v>47169</v>
      </c>
    </row>
    <row r="7" spans="1:3" ht="15">
      <c r="A7" s="613" t="s">
        <v>786</v>
      </c>
      <c r="B7" s="614"/>
      <c r="C7" s="612">
        <v>61465</v>
      </c>
    </row>
    <row r="8" spans="1:3" ht="15">
      <c r="A8" s="613" t="s">
        <v>384</v>
      </c>
      <c r="B8" s="614"/>
      <c r="C8" s="612">
        <v>76779</v>
      </c>
    </row>
    <row r="9" spans="1:3" ht="15">
      <c r="A9" s="622" t="s">
        <v>491</v>
      </c>
      <c r="B9" s="614"/>
      <c r="C9" s="612">
        <f>SUM(68989,1164)</f>
        <v>70153</v>
      </c>
    </row>
    <row r="10" spans="1:3" ht="15">
      <c r="A10" s="615" t="s">
        <v>316</v>
      </c>
      <c r="B10" s="614" t="s">
        <v>385</v>
      </c>
      <c r="C10" s="616">
        <f>SUM(C6:C9)</f>
        <v>255566</v>
      </c>
    </row>
    <row r="11" spans="1:3" ht="15">
      <c r="A11" s="613"/>
      <c r="B11" s="614"/>
      <c r="C11" s="612"/>
    </row>
    <row r="12" spans="1:3" ht="15">
      <c r="A12" s="609" t="s">
        <v>386</v>
      </c>
      <c r="B12" s="610"/>
      <c r="C12" s="612"/>
    </row>
    <row r="13" spans="1:3" ht="15">
      <c r="A13" s="613" t="s">
        <v>387</v>
      </c>
      <c r="B13" s="614"/>
      <c r="C13" s="612">
        <f>SUM((20.74*6.25*186)+700)</f>
        <v>24810.25</v>
      </c>
    </row>
    <row r="14" spans="1:3" ht="15">
      <c r="A14" s="613" t="s">
        <v>388</v>
      </c>
      <c r="B14" s="614"/>
      <c r="C14" s="612">
        <f>SUM((20.74*6.25*186)+800)</f>
        <v>24910.25</v>
      </c>
    </row>
    <row r="15" spans="1:3" ht="15">
      <c r="A15" s="615" t="s">
        <v>316</v>
      </c>
      <c r="B15" s="614" t="s">
        <v>389</v>
      </c>
      <c r="C15" s="616">
        <f>SUM(C13:C14)</f>
        <v>49720.5</v>
      </c>
    </row>
    <row r="16" spans="1:3" ht="15">
      <c r="A16" s="613"/>
      <c r="B16" s="614"/>
      <c r="C16" s="612"/>
    </row>
    <row r="17" spans="1:3" ht="15">
      <c r="A17" s="609" t="s">
        <v>390</v>
      </c>
      <c r="B17" s="610"/>
      <c r="C17" s="612"/>
    </row>
    <row r="18" spans="1:6" ht="15">
      <c r="A18" s="613" t="s">
        <v>724</v>
      </c>
      <c r="B18" s="614"/>
      <c r="C18" s="616">
        <v>48753</v>
      </c>
      <c r="E18"/>
      <c r="F18" s="637"/>
    </row>
    <row r="19" spans="1:3" ht="15">
      <c r="A19" s="615" t="s">
        <v>316</v>
      </c>
      <c r="B19" s="614" t="s">
        <v>391</v>
      </c>
      <c r="C19" s="617">
        <f>SUM(C18:C18)</f>
        <v>48753</v>
      </c>
    </row>
    <row r="20" spans="1:3" ht="15">
      <c r="A20" s="613"/>
      <c r="B20" s="614"/>
      <c r="C20" s="612"/>
    </row>
    <row r="21" spans="1:3" ht="15">
      <c r="A21" s="609" t="s">
        <v>392</v>
      </c>
      <c r="B21" s="610"/>
      <c r="C21" s="612"/>
    </row>
    <row r="22" spans="1:4" ht="15">
      <c r="A22" s="873" t="s">
        <v>744</v>
      </c>
      <c r="B22" s="874"/>
      <c r="C22" s="875">
        <v>0</v>
      </c>
      <c r="D22" t="s">
        <v>787</v>
      </c>
    </row>
    <row r="23" spans="1:3" ht="15">
      <c r="A23" s="613" t="s">
        <v>439</v>
      </c>
      <c r="B23" s="614"/>
      <c r="C23" s="612">
        <f>SUM((16.22*4*181)+750)</f>
        <v>12493.279999999999</v>
      </c>
    </row>
    <row r="24" spans="1:3" ht="15">
      <c r="A24" s="615" t="s">
        <v>316</v>
      </c>
      <c r="B24" s="614">
        <v>116</v>
      </c>
      <c r="C24" s="616">
        <f>SUM(C22:C23)</f>
        <v>12493.279999999999</v>
      </c>
    </row>
    <row r="25" spans="1:3" ht="15">
      <c r="A25" s="613"/>
      <c r="B25" s="614"/>
      <c r="C25" s="612"/>
    </row>
    <row r="26" spans="1:3" ht="15">
      <c r="A26" s="618" t="s">
        <v>393</v>
      </c>
      <c r="B26" s="614"/>
      <c r="C26" s="612"/>
    </row>
    <row r="27" spans="1:3" ht="15">
      <c r="A27" s="613" t="s">
        <v>394</v>
      </c>
      <c r="B27" s="614">
        <v>111</v>
      </c>
      <c r="C27" s="616">
        <v>68114</v>
      </c>
    </row>
    <row r="28" spans="1:3" ht="15">
      <c r="A28" s="613"/>
      <c r="B28" s="614"/>
      <c r="C28" s="612"/>
    </row>
    <row r="29" spans="1:3" ht="15">
      <c r="A29" s="618" t="s">
        <v>395</v>
      </c>
      <c r="B29" s="614"/>
      <c r="C29" s="612"/>
    </row>
    <row r="30" spans="1:3" ht="15">
      <c r="A30" s="613" t="s">
        <v>541</v>
      </c>
      <c r="B30" s="614">
        <v>91</v>
      </c>
      <c r="C30" s="616">
        <f>PRODUCT(200,7.5,22.59)</f>
        <v>33885</v>
      </c>
    </row>
    <row r="32" ht="15">
      <c r="K32" s="3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193"/>
  <sheetViews>
    <sheetView zoomScalePageLayoutView="0" workbookViewId="0" topLeftCell="A4">
      <selection activeCell="F34" sqref="F34"/>
    </sheetView>
  </sheetViews>
  <sheetFormatPr defaultColWidth="9.140625" defaultRowHeight="15"/>
  <cols>
    <col min="1" max="1" width="22.57421875" style="0" customWidth="1"/>
  </cols>
  <sheetData>
    <row r="1" spans="1:3" ht="30">
      <c r="A1" s="609" t="s">
        <v>397</v>
      </c>
      <c r="B1" s="610" t="s">
        <v>398</v>
      </c>
      <c r="C1" s="611" t="s">
        <v>353</v>
      </c>
    </row>
    <row r="2" spans="1:3" ht="15">
      <c r="A2" s="619" t="s">
        <v>383</v>
      </c>
      <c r="B2" s="620"/>
      <c r="C2" s="612"/>
    </row>
    <row r="3" spans="1:3" ht="15">
      <c r="A3" s="618" t="s">
        <v>399</v>
      </c>
      <c r="B3" s="621"/>
      <c r="C3" s="612"/>
    </row>
    <row r="4" spans="1:3" ht="15">
      <c r="A4" s="613" t="s">
        <v>725</v>
      </c>
      <c r="B4" s="614"/>
      <c r="C4" s="612">
        <v>59342</v>
      </c>
    </row>
    <row r="5" spans="1:3" ht="15">
      <c r="A5" s="613" t="s">
        <v>566</v>
      </c>
      <c r="B5" s="614"/>
      <c r="C5" s="612">
        <f>SUM(76779,885)</f>
        <v>77664</v>
      </c>
    </row>
    <row r="6" spans="1:3" ht="15">
      <c r="A6" s="613" t="s">
        <v>400</v>
      </c>
      <c r="B6" s="614"/>
      <c r="C6" s="612">
        <v>63581</v>
      </c>
    </row>
    <row r="7" spans="1:3" ht="15">
      <c r="A7" s="613" t="s">
        <v>401</v>
      </c>
      <c r="B7" s="614"/>
      <c r="C7" s="612">
        <f>SUM(82614,885)</f>
        <v>83499</v>
      </c>
    </row>
    <row r="8" spans="1:3" ht="15">
      <c r="A8" s="615" t="s">
        <v>403</v>
      </c>
      <c r="B8" s="614" t="s">
        <v>404</v>
      </c>
      <c r="C8" s="616">
        <f>SUM(C4:C7)</f>
        <v>284086</v>
      </c>
    </row>
    <row r="9" spans="1:3" ht="15">
      <c r="A9" s="613"/>
      <c r="B9" s="614"/>
      <c r="C9" s="612"/>
    </row>
    <row r="10" spans="1:3" ht="15">
      <c r="A10" s="619" t="s">
        <v>383</v>
      </c>
      <c r="B10" s="620"/>
      <c r="C10" s="612"/>
    </row>
    <row r="11" spans="1:3" ht="15">
      <c r="A11" s="618" t="s">
        <v>405</v>
      </c>
      <c r="B11" s="621"/>
      <c r="C11" s="612"/>
    </row>
    <row r="12" spans="1:3" ht="15">
      <c r="A12" s="613" t="s">
        <v>408</v>
      </c>
      <c r="B12" s="614"/>
      <c r="C12" s="612">
        <f>SUM(76779,885)</f>
        <v>77664</v>
      </c>
    </row>
    <row r="13" spans="1:3" ht="15">
      <c r="A13" s="613" t="s">
        <v>493</v>
      </c>
      <c r="B13" s="614"/>
      <c r="C13" s="612">
        <v>64355</v>
      </c>
    </row>
    <row r="14" spans="1:3" ht="15">
      <c r="A14" s="613" t="s">
        <v>406</v>
      </c>
      <c r="B14" s="614"/>
      <c r="C14" s="612">
        <f>SUM(76779,885)</f>
        <v>77664</v>
      </c>
    </row>
    <row r="15" spans="1:5" ht="15">
      <c r="A15" s="613" t="s">
        <v>558</v>
      </c>
      <c r="B15" s="614"/>
      <c r="C15" s="612">
        <v>57222</v>
      </c>
      <c r="E15" s="385"/>
    </row>
    <row r="16" spans="1:3" ht="15">
      <c r="A16" s="615" t="s">
        <v>409</v>
      </c>
      <c r="B16" s="614" t="s">
        <v>410</v>
      </c>
      <c r="C16" s="616">
        <f>SUM(C12:C15)</f>
        <v>276905</v>
      </c>
    </row>
    <row r="17" spans="1:3" ht="15">
      <c r="A17" s="613"/>
      <c r="B17" s="614"/>
      <c r="C17" s="612"/>
    </row>
    <row r="18" spans="1:3" ht="15">
      <c r="A18" s="619" t="s">
        <v>383</v>
      </c>
      <c r="B18" s="620"/>
      <c r="C18" s="612"/>
    </row>
    <row r="19" spans="1:3" ht="15">
      <c r="A19" s="618" t="s">
        <v>411</v>
      </c>
      <c r="B19" s="621"/>
      <c r="C19" s="612"/>
    </row>
    <row r="20" spans="1:3" ht="15">
      <c r="A20" s="613" t="s">
        <v>418</v>
      </c>
      <c r="B20" s="614"/>
      <c r="C20" s="612">
        <v>78577</v>
      </c>
    </row>
    <row r="21" spans="1:3" ht="15">
      <c r="A21" s="613" t="s">
        <v>413</v>
      </c>
      <c r="B21" s="614"/>
      <c r="C21" s="612">
        <v>61465</v>
      </c>
    </row>
    <row r="22" spans="1:3" ht="15">
      <c r="A22" s="613" t="s">
        <v>426</v>
      </c>
      <c r="B22" s="614"/>
      <c r="C22" s="612">
        <f>SUM(77692,774)</f>
        <v>78466</v>
      </c>
    </row>
    <row r="23" spans="1:3" ht="15">
      <c r="A23" s="613" t="s">
        <v>851</v>
      </c>
      <c r="B23" s="614"/>
      <c r="C23" s="612">
        <v>55000</v>
      </c>
    </row>
    <row r="24" spans="1:3" ht="15">
      <c r="A24" s="615" t="s">
        <v>414</v>
      </c>
      <c r="B24" s="614" t="s">
        <v>415</v>
      </c>
      <c r="C24" s="616">
        <f>SUM(C20:C23)</f>
        <v>273508</v>
      </c>
    </row>
    <row r="25" spans="1:3" ht="15">
      <c r="A25" s="613"/>
      <c r="B25" s="614"/>
      <c r="C25" s="612"/>
    </row>
    <row r="26" spans="1:3" ht="15">
      <c r="A26" s="619" t="s">
        <v>383</v>
      </c>
      <c r="B26" s="620"/>
      <c r="C26" s="612"/>
    </row>
    <row r="27" spans="1:3" ht="15">
      <c r="A27" s="618" t="s">
        <v>416</v>
      </c>
      <c r="B27" s="621"/>
      <c r="C27" s="612"/>
    </row>
    <row r="28" spans="1:3" ht="15">
      <c r="A28" s="613" t="s">
        <v>560</v>
      </c>
      <c r="B28" s="614"/>
      <c r="C28" s="612">
        <v>54321</v>
      </c>
    </row>
    <row r="29" spans="1:3" ht="15">
      <c r="A29" s="613" t="s">
        <v>417</v>
      </c>
      <c r="B29" s="614"/>
      <c r="C29" s="612">
        <v>78856</v>
      </c>
    </row>
    <row r="30" spans="1:3" ht="15">
      <c r="A30" s="613" t="s">
        <v>559</v>
      </c>
      <c r="B30" s="614"/>
      <c r="C30" s="612">
        <v>76779</v>
      </c>
    </row>
    <row r="31" spans="1:3" ht="15">
      <c r="A31" s="615" t="s">
        <v>419</v>
      </c>
      <c r="B31" s="614" t="s">
        <v>420</v>
      </c>
      <c r="C31" s="616">
        <f>SUM(C28:C30)</f>
        <v>209956</v>
      </c>
    </row>
    <row r="32" spans="1:10" ht="15">
      <c r="A32" s="613"/>
      <c r="B32" s="614"/>
      <c r="C32" s="612"/>
      <c r="J32" s="381"/>
    </row>
    <row r="33" spans="1:3" ht="15">
      <c r="A33" s="619" t="s">
        <v>383</v>
      </c>
      <c r="B33" s="620"/>
      <c r="C33" s="612"/>
    </row>
    <row r="34" spans="1:3" ht="15">
      <c r="A34" s="618" t="s">
        <v>421</v>
      </c>
      <c r="B34" s="621"/>
      <c r="C34" s="612"/>
    </row>
    <row r="35" spans="1:3" ht="15">
      <c r="A35" s="613" t="s">
        <v>726</v>
      </c>
      <c r="B35" s="614"/>
      <c r="C35" s="612">
        <v>47169</v>
      </c>
    </row>
    <row r="36" spans="1:3" ht="15">
      <c r="A36" s="613" t="s">
        <v>796</v>
      </c>
      <c r="B36" s="621"/>
      <c r="C36" s="612">
        <f>PRODUCT(77692+885+77067)/2</f>
        <v>77822</v>
      </c>
    </row>
    <row r="37" spans="1:4" ht="15">
      <c r="A37" s="613" t="s">
        <v>561</v>
      </c>
      <c r="B37" s="614"/>
      <c r="C37" s="612">
        <f>SUM(76779,1164)</f>
        <v>77943</v>
      </c>
      <c r="D37" s="387"/>
    </row>
    <row r="38" spans="1:3" ht="15">
      <c r="A38" s="613" t="s">
        <v>412</v>
      </c>
      <c r="B38" s="614"/>
      <c r="C38" s="612">
        <f>SUM(76779,1164)</f>
        <v>77943</v>
      </c>
    </row>
    <row r="39" spans="1:3" ht="15">
      <c r="A39" s="615" t="s">
        <v>423</v>
      </c>
      <c r="B39" s="614" t="s">
        <v>424</v>
      </c>
      <c r="C39" s="616">
        <f>SUM(C35:C38)</f>
        <v>280877</v>
      </c>
    </row>
    <row r="40" spans="1:3" ht="15">
      <c r="A40" s="613"/>
      <c r="B40" s="614"/>
      <c r="C40" s="612"/>
    </row>
    <row r="41" spans="1:3" ht="15">
      <c r="A41" s="619" t="s">
        <v>383</v>
      </c>
      <c r="B41" s="620"/>
      <c r="C41" s="612"/>
    </row>
    <row r="42" spans="1:3" ht="15">
      <c r="A42" s="618" t="s">
        <v>425</v>
      </c>
      <c r="B42" s="621"/>
      <c r="C42" s="612"/>
    </row>
    <row r="43" spans="1:3" ht="15">
      <c r="A43" s="613" t="s">
        <v>562</v>
      </c>
      <c r="B43" s="621"/>
      <c r="C43" s="612">
        <v>61465</v>
      </c>
    </row>
    <row r="44" spans="1:3" ht="15">
      <c r="A44" s="613" t="s">
        <v>797</v>
      </c>
      <c r="B44" s="621"/>
      <c r="C44" s="612">
        <f>PRODUCT(77692+885+77067)/2</f>
        <v>77822</v>
      </c>
    </row>
    <row r="45" spans="1:4" ht="15">
      <c r="A45" s="613" t="s">
        <v>422</v>
      </c>
      <c r="B45" s="621"/>
      <c r="C45" s="612">
        <f>SUM(77692,885)</f>
        <v>78577</v>
      </c>
      <c r="D45" s="387"/>
    </row>
    <row r="46" spans="1:4" ht="15">
      <c r="A46" s="613" t="s">
        <v>402</v>
      </c>
      <c r="B46" s="614"/>
      <c r="C46" s="612">
        <v>71624</v>
      </c>
      <c r="D46" s="387"/>
    </row>
    <row r="47" spans="1:3" ht="15">
      <c r="A47" s="615" t="s">
        <v>428</v>
      </c>
      <c r="B47" s="614" t="s">
        <v>429</v>
      </c>
      <c r="C47" s="616">
        <f>SUM(C43:E46)</f>
        <v>289488</v>
      </c>
    </row>
    <row r="48" spans="1:3" ht="15">
      <c r="A48" s="615"/>
      <c r="B48" s="614"/>
      <c r="C48" s="616"/>
    </row>
    <row r="49" spans="1:5" ht="15">
      <c r="A49" s="618" t="s">
        <v>740</v>
      </c>
      <c r="B49" s="621"/>
      <c r="C49" s="612"/>
      <c r="D49" s="387"/>
      <c r="E49" s="385"/>
    </row>
    <row r="50" spans="1:5" ht="15">
      <c r="A50" s="613" t="s">
        <v>741</v>
      </c>
      <c r="B50" s="614">
        <v>86</v>
      </c>
      <c r="C50" s="616">
        <v>66091</v>
      </c>
      <c r="D50" s="387"/>
      <c r="E50" s="385"/>
    </row>
    <row r="51" spans="1:3" ht="15">
      <c r="A51" s="613"/>
      <c r="B51" s="614"/>
      <c r="C51" s="612"/>
    </row>
    <row r="52" spans="1:3" ht="15">
      <c r="A52" s="618" t="s">
        <v>390</v>
      </c>
      <c r="B52" s="621"/>
      <c r="C52" s="612"/>
    </row>
    <row r="53" spans="1:5" ht="15">
      <c r="A53" s="613" t="s">
        <v>407</v>
      </c>
      <c r="B53" s="614"/>
      <c r="C53" s="612">
        <f>SUM(68989,1164)</f>
        <v>70153</v>
      </c>
      <c r="E53" s="385"/>
    </row>
    <row r="54" spans="1:6" ht="15">
      <c r="A54" s="622" t="s">
        <v>727</v>
      </c>
      <c r="B54" s="614"/>
      <c r="C54" s="612">
        <v>47169</v>
      </c>
      <c r="F54" s="637"/>
    </row>
    <row r="55" spans="1:3" ht="15">
      <c r="A55" s="622" t="s">
        <v>728</v>
      </c>
      <c r="B55" s="614"/>
      <c r="C55" s="612">
        <v>76779</v>
      </c>
    </row>
    <row r="56" spans="1:3" ht="15">
      <c r="A56" s="622" t="s">
        <v>729</v>
      </c>
      <c r="B56" s="614"/>
      <c r="C56" s="612">
        <f>SUM(76779,885)</f>
        <v>77664</v>
      </c>
    </row>
    <row r="57" spans="1:3" ht="15">
      <c r="A57" s="622" t="s">
        <v>731</v>
      </c>
      <c r="B57" s="614"/>
      <c r="C57" s="612">
        <f>SUM(77692,774)</f>
        <v>78466</v>
      </c>
    </row>
    <row r="58" spans="1:3" ht="15">
      <c r="A58" s="622" t="s">
        <v>730</v>
      </c>
      <c r="B58" s="614"/>
      <c r="C58" s="612">
        <f>SUM(82614,1609)</f>
        <v>84223</v>
      </c>
    </row>
    <row r="59" spans="1:3" ht="15">
      <c r="A59" s="615" t="s">
        <v>316</v>
      </c>
      <c r="B59" s="614" t="s">
        <v>568</v>
      </c>
      <c r="C59" s="616">
        <f>SUM(C53:C58)</f>
        <v>434454</v>
      </c>
    </row>
    <row r="60" spans="1:3" ht="15">
      <c r="A60" s="613"/>
      <c r="B60" s="614"/>
      <c r="C60" s="612"/>
    </row>
    <row r="61" spans="1:3" ht="15">
      <c r="A61" s="618" t="s">
        <v>431</v>
      </c>
      <c r="B61" s="621"/>
      <c r="C61" s="612"/>
    </row>
    <row r="62" spans="1:3" ht="15">
      <c r="A62" s="622" t="s">
        <v>432</v>
      </c>
      <c r="B62" s="614">
        <v>188</v>
      </c>
      <c r="C62" s="612">
        <f>SUM((20.74*6.25*186)+600)</f>
        <v>24710.25</v>
      </c>
    </row>
    <row r="63" spans="1:3" ht="15">
      <c r="A63" s="622"/>
      <c r="B63" s="614"/>
      <c r="C63" s="616"/>
    </row>
    <row r="64" spans="1:3" ht="15">
      <c r="A64" s="618" t="s">
        <v>433</v>
      </c>
      <c r="B64" s="614"/>
      <c r="C64" s="616"/>
    </row>
    <row r="65" spans="1:3" ht="15">
      <c r="A65" s="622"/>
      <c r="B65" s="614">
        <v>169</v>
      </c>
      <c r="C65" s="616">
        <v>0</v>
      </c>
    </row>
    <row r="66" spans="1:3" ht="15">
      <c r="A66" s="615"/>
      <c r="B66" s="614"/>
      <c r="C66" s="616"/>
    </row>
    <row r="67" spans="1:3" ht="15">
      <c r="A67" s="613"/>
      <c r="B67" s="614"/>
      <c r="C67" s="612"/>
    </row>
    <row r="68" spans="1:3" ht="15">
      <c r="A68" s="618" t="s">
        <v>434</v>
      </c>
      <c r="B68" s="621"/>
      <c r="C68" s="612"/>
    </row>
    <row r="69" spans="1:3" ht="30">
      <c r="A69" s="623" t="s">
        <v>799</v>
      </c>
      <c r="B69" s="614"/>
      <c r="C69" s="612"/>
    </row>
    <row r="70" spans="1:3" ht="15">
      <c r="A70" s="615" t="s">
        <v>316</v>
      </c>
      <c r="B70" s="614">
        <v>170</v>
      </c>
      <c r="C70" s="616">
        <f>SUM(C69:C69)</f>
        <v>0</v>
      </c>
    </row>
    <row r="71" spans="1:3" ht="15">
      <c r="A71" s="613"/>
      <c r="B71" s="614"/>
      <c r="C71" s="612"/>
    </row>
    <row r="72" spans="1:3" ht="15">
      <c r="A72" s="618" t="s">
        <v>435</v>
      </c>
      <c r="B72" s="621"/>
      <c r="C72" s="612"/>
    </row>
    <row r="73" spans="1:3" ht="15">
      <c r="A73" s="613" t="s">
        <v>732</v>
      </c>
      <c r="B73" s="614"/>
      <c r="C73" s="612">
        <v>54321</v>
      </c>
    </row>
    <row r="74" spans="1:3" ht="15">
      <c r="A74" s="613" t="s">
        <v>436</v>
      </c>
      <c r="B74" s="614"/>
      <c r="C74" s="612">
        <f>SUM(82614,774)</f>
        <v>83388</v>
      </c>
    </row>
    <row r="75" spans="1:3" ht="15">
      <c r="A75" s="613" t="s">
        <v>537</v>
      </c>
      <c r="B75" s="614"/>
      <c r="C75" s="612">
        <f>SUM(82614,1609)</f>
        <v>84223</v>
      </c>
    </row>
    <row r="76" spans="1:3" ht="15">
      <c r="A76" s="615" t="s">
        <v>316</v>
      </c>
      <c r="B76" s="614">
        <v>172</v>
      </c>
      <c r="C76" s="616">
        <f>SUM(C73:C75)</f>
        <v>221932</v>
      </c>
    </row>
    <row r="77" spans="1:3" ht="15">
      <c r="A77" s="613"/>
      <c r="B77" s="614"/>
      <c r="C77" s="612"/>
    </row>
    <row r="78" spans="1:3" ht="15">
      <c r="A78" s="618" t="s">
        <v>437</v>
      </c>
      <c r="B78" s="621"/>
      <c r="C78" s="612"/>
    </row>
    <row r="79" spans="1:3" ht="15">
      <c r="A79" s="613" t="s">
        <v>733</v>
      </c>
      <c r="B79" s="614"/>
      <c r="C79" s="612">
        <f>PRODUCT(15.89,3,181)</f>
        <v>8628.27</v>
      </c>
    </row>
    <row r="80" spans="1:3" ht="15">
      <c r="A80" s="613" t="s">
        <v>438</v>
      </c>
      <c r="B80" s="613"/>
      <c r="C80" s="612">
        <f>PRODUCT(16.22,3,181)</f>
        <v>8807.46</v>
      </c>
    </row>
    <row r="81" spans="1:3" ht="15">
      <c r="A81" s="613" t="s">
        <v>539</v>
      </c>
      <c r="B81" s="614"/>
      <c r="C81" s="612">
        <f>PRODUCT(16.22,2.5,181)</f>
        <v>7339.549999999999</v>
      </c>
    </row>
    <row r="82" spans="1:3" ht="15">
      <c r="A82" s="615" t="s">
        <v>316</v>
      </c>
      <c r="B82" s="614">
        <v>190</v>
      </c>
      <c r="C82" s="616">
        <f>SUM(C79:C81)</f>
        <v>24775.28</v>
      </c>
    </row>
    <row r="83" spans="1:3" ht="15">
      <c r="A83" s="613"/>
      <c r="B83" s="614"/>
      <c r="C83" s="612"/>
    </row>
    <row r="84" spans="1:3" ht="15">
      <c r="A84" s="618" t="s">
        <v>393</v>
      </c>
      <c r="B84" s="621"/>
      <c r="C84" s="612"/>
    </row>
    <row r="85" spans="1:3" ht="15">
      <c r="A85" s="613" t="s">
        <v>440</v>
      </c>
      <c r="B85" s="614"/>
      <c r="C85" s="616">
        <f>SUM(76779,1164)</f>
        <v>77943</v>
      </c>
    </row>
    <row r="86" spans="1:3" ht="15">
      <c r="A86" s="615" t="s">
        <v>316</v>
      </c>
      <c r="B86" s="614">
        <v>181</v>
      </c>
      <c r="C86" s="616">
        <f>SUM(C85:C85)</f>
        <v>77943</v>
      </c>
    </row>
    <row r="87" spans="1:3" ht="15">
      <c r="A87" s="613"/>
      <c r="B87" s="614"/>
      <c r="C87" s="612"/>
    </row>
    <row r="88" spans="1:3" ht="15">
      <c r="A88" s="618" t="s">
        <v>441</v>
      </c>
      <c r="B88" s="614"/>
      <c r="C88" s="612"/>
    </row>
    <row r="89" spans="1:3" ht="15">
      <c r="A89" s="613" t="s">
        <v>442</v>
      </c>
      <c r="B89" s="614"/>
      <c r="C89" s="616">
        <f>PRODUCT(200,7.5,22.59)</f>
        <v>33885</v>
      </c>
    </row>
    <row r="90" spans="1:3" ht="15">
      <c r="A90" s="613" t="s">
        <v>784</v>
      </c>
      <c r="B90" s="614"/>
      <c r="C90" s="616">
        <v>1430</v>
      </c>
    </row>
    <row r="91" spans="1:3" ht="15">
      <c r="A91" s="613" t="s">
        <v>396</v>
      </c>
      <c r="B91" s="614"/>
      <c r="C91" s="616">
        <f>PRODUCT(200,7.5,22.09)</f>
        <v>33135</v>
      </c>
    </row>
    <row r="92" spans="1:3" ht="15">
      <c r="A92" s="615" t="s">
        <v>316</v>
      </c>
      <c r="B92" s="614">
        <v>163</v>
      </c>
      <c r="C92" s="616">
        <f>SUM(C89:C91)</f>
        <v>68450</v>
      </c>
    </row>
    <row r="93" spans="2:3" ht="15">
      <c r="B93" s="386"/>
      <c r="C93" s="385"/>
    </row>
    <row r="94" spans="1:3" ht="15">
      <c r="A94" s="382"/>
      <c r="B94" s="383"/>
      <c r="C94" s="384"/>
    </row>
    <row r="95" spans="1:3" ht="15">
      <c r="A95" s="389"/>
      <c r="B95" s="390"/>
      <c r="C95" s="385"/>
    </row>
    <row r="96" spans="2:3" ht="15">
      <c r="B96" s="386"/>
      <c r="C96" s="385"/>
    </row>
    <row r="97" spans="2:3" ht="15">
      <c r="B97" s="386"/>
      <c r="C97" s="385"/>
    </row>
    <row r="98" spans="2:3" ht="15">
      <c r="B98" s="386"/>
      <c r="C98" s="385"/>
    </row>
    <row r="99" spans="1:3" ht="15">
      <c r="A99" s="387"/>
      <c r="B99" s="386"/>
      <c r="C99" s="388"/>
    </row>
    <row r="100" spans="2:3" ht="15">
      <c r="B100" s="386"/>
      <c r="C100" s="385"/>
    </row>
    <row r="101" spans="1:3" ht="15">
      <c r="A101" s="389"/>
      <c r="B101" s="390"/>
      <c r="C101" s="385"/>
    </row>
    <row r="102" spans="2:3" ht="15">
      <c r="B102" s="386"/>
      <c r="C102" s="385"/>
    </row>
    <row r="103" spans="2:3" ht="15">
      <c r="B103" s="386"/>
      <c r="C103" s="385"/>
    </row>
    <row r="104" spans="1:3" ht="15">
      <c r="A104" s="387"/>
      <c r="B104" s="386"/>
      <c r="C104" s="388"/>
    </row>
    <row r="105" spans="2:3" ht="15">
      <c r="B105" s="386"/>
      <c r="C105" s="385"/>
    </row>
    <row r="106" spans="1:3" ht="15">
      <c r="A106" s="389"/>
      <c r="B106" s="390"/>
      <c r="C106" s="385"/>
    </row>
    <row r="107" spans="2:3" ht="15">
      <c r="B107" s="386"/>
      <c r="C107" s="385"/>
    </row>
    <row r="108" spans="2:3" ht="15">
      <c r="B108" s="386"/>
      <c r="C108" s="385"/>
    </row>
    <row r="109" spans="2:3" ht="15">
      <c r="B109" s="386"/>
      <c r="C109" s="385"/>
    </row>
    <row r="110" spans="1:3" ht="15">
      <c r="A110" s="387"/>
      <c r="B110" s="386"/>
      <c r="C110" s="388"/>
    </row>
    <row r="111" spans="2:3" ht="15">
      <c r="B111" s="386"/>
      <c r="C111" s="385"/>
    </row>
    <row r="112" spans="1:3" ht="15">
      <c r="A112" s="389"/>
      <c r="B112" s="390"/>
      <c r="C112" s="385"/>
    </row>
    <row r="113" spans="2:3" ht="15">
      <c r="B113" s="386"/>
      <c r="C113" s="385"/>
    </row>
    <row r="114" spans="2:3" ht="15">
      <c r="B114" s="386"/>
      <c r="C114" s="385"/>
    </row>
    <row r="115" spans="2:3" ht="15">
      <c r="B115" s="386"/>
      <c r="C115" s="385"/>
    </row>
    <row r="116" spans="1:3" ht="15">
      <c r="A116" s="387"/>
      <c r="B116" s="386"/>
      <c r="C116" s="388"/>
    </row>
    <row r="117" spans="2:3" ht="15">
      <c r="B117" s="386"/>
      <c r="C117" s="385"/>
    </row>
    <row r="118" spans="1:3" ht="15">
      <c r="A118" s="389"/>
      <c r="B118" s="390"/>
      <c r="C118" s="385"/>
    </row>
    <row r="119" spans="2:3" ht="15">
      <c r="B119" s="386"/>
      <c r="C119" s="385"/>
    </row>
    <row r="120" spans="2:3" ht="15">
      <c r="B120" s="386"/>
      <c r="C120" s="385"/>
    </row>
    <row r="121" spans="2:3" ht="15">
      <c r="B121" s="386"/>
      <c r="C121" s="385"/>
    </row>
    <row r="122" spans="1:3" ht="15">
      <c r="A122" s="387"/>
      <c r="B122" s="386"/>
      <c r="C122" s="388"/>
    </row>
    <row r="123" spans="2:3" ht="15">
      <c r="B123" s="386"/>
      <c r="C123" s="385"/>
    </row>
    <row r="124" spans="1:3" ht="15">
      <c r="A124" s="389"/>
      <c r="B124" s="390"/>
      <c r="C124" s="385"/>
    </row>
    <row r="125" spans="2:3" ht="15">
      <c r="B125" s="386"/>
      <c r="C125" s="385"/>
    </row>
    <row r="126" spans="2:3" ht="15">
      <c r="B126" s="386"/>
      <c r="C126" s="385"/>
    </row>
    <row r="127" spans="2:3" ht="15">
      <c r="B127" s="386"/>
      <c r="C127" s="385"/>
    </row>
    <row r="128" spans="1:3" ht="15">
      <c r="A128" s="387"/>
      <c r="B128" s="386"/>
      <c r="C128" s="388"/>
    </row>
    <row r="129" spans="2:3" ht="15">
      <c r="B129" s="386"/>
      <c r="C129" s="385"/>
    </row>
    <row r="130" spans="2:3" ht="15">
      <c r="B130" s="386"/>
      <c r="C130" s="385"/>
    </row>
    <row r="131" spans="1:3" ht="15">
      <c r="A131" s="389"/>
      <c r="B131" s="390"/>
      <c r="C131" s="385"/>
    </row>
    <row r="132" spans="2:3" ht="15">
      <c r="B132" s="386"/>
      <c r="C132" s="385"/>
    </row>
    <row r="133" spans="2:3" ht="15">
      <c r="B133" s="386"/>
      <c r="C133" s="385"/>
    </row>
    <row r="134" spans="2:3" ht="15">
      <c r="B134" s="386"/>
      <c r="C134" s="385"/>
    </row>
    <row r="135" spans="2:3" ht="15">
      <c r="B135" s="386"/>
      <c r="C135" s="385"/>
    </row>
    <row r="136" spans="1:3" ht="15">
      <c r="A136" s="387"/>
      <c r="B136" s="386"/>
      <c r="C136" s="388"/>
    </row>
    <row r="137" spans="2:3" ht="15">
      <c r="B137" s="386"/>
      <c r="C137" s="385"/>
    </row>
    <row r="138" spans="1:3" ht="15">
      <c r="A138" s="389"/>
      <c r="B138" s="390"/>
      <c r="C138" s="385"/>
    </row>
    <row r="139" spans="2:3" ht="15">
      <c r="B139" s="386"/>
      <c r="C139" s="385"/>
    </row>
    <row r="140" spans="2:3" ht="15">
      <c r="B140" s="386"/>
      <c r="C140" s="385"/>
    </row>
    <row r="141" spans="2:3" ht="15">
      <c r="B141" s="386"/>
      <c r="C141" s="385"/>
    </row>
    <row r="142" spans="1:3" ht="15">
      <c r="A142" s="387"/>
      <c r="B142" s="386"/>
      <c r="C142" s="388"/>
    </row>
    <row r="143" spans="2:3" ht="15">
      <c r="B143" s="386"/>
      <c r="C143" s="385"/>
    </row>
    <row r="144" spans="1:3" ht="15">
      <c r="A144" s="389"/>
      <c r="B144" s="390"/>
      <c r="C144" s="385"/>
    </row>
    <row r="145" spans="2:3" ht="15">
      <c r="B145" s="386"/>
      <c r="C145" s="385"/>
    </row>
    <row r="146" spans="2:3" ht="15">
      <c r="B146" s="386"/>
      <c r="C146" s="385"/>
    </row>
    <row r="147" spans="1:3" ht="15">
      <c r="A147" s="387"/>
      <c r="B147" s="386"/>
      <c r="C147" s="388"/>
    </row>
    <row r="148" spans="2:3" ht="15">
      <c r="B148" s="386"/>
      <c r="C148" s="385"/>
    </row>
    <row r="149" spans="1:3" ht="15">
      <c r="A149" s="389"/>
      <c r="B149" s="390"/>
      <c r="C149" s="385"/>
    </row>
    <row r="150" spans="2:3" ht="15">
      <c r="B150" s="386"/>
      <c r="C150" s="388"/>
    </row>
    <row r="151" spans="2:3" ht="15">
      <c r="B151" s="386"/>
      <c r="C151" s="385"/>
    </row>
    <row r="152" spans="1:3" ht="15">
      <c r="A152" s="389"/>
      <c r="B152" s="390"/>
      <c r="C152" s="385"/>
    </row>
    <row r="153" spans="2:3" ht="15">
      <c r="B153" s="386"/>
      <c r="C153" s="388"/>
    </row>
    <row r="154" spans="2:3" ht="15">
      <c r="B154" s="386"/>
      <c r="C154" s="385"/>
    </row>
    <row r="155" spans="1:3" ht="15">
      <c r="A155" s="389"/>
      <c r="B155" s="390"/>
      <c r="C155" s="385"/>
    </row>
    <row r="156" spans="2:3" ht="15">
      <c r="B156" s="386"/>
      <c r="C156" s="388"/>
    </row>
    <row r="157" spans="2:3" ht="15">
      <c r="B157" s="386"/>
      <c r="C157" s="385"/>
    </row>
    <row r="158" spans="1:3" ht="15">
      <c r="A158" s="389"/>
      <c r="B158" s="390"/>
      <c r="C158" s="385"/>
    </row>
    <row r="159" spans="2:3" ht="15">
      <c r="B159" s="386"/>
      <c r="C159" s="388"/>
    </row>
    <row r="160" spans="2:3" ht="15">
      <c r="B160" s="386"/>
      <c r="C160" s="385"/>
    </row>
    <row r="161" spans="1:3" ht="15">
      <c r="A161" s="382"/>
      <c r="B161" s="383"/>
      <c r="C161" s="382"/>
    </row>
    <row r="162" spans="1:3" ht="15">
      <c r="A162" s="382"/>
      <c r="B162" s="383"/>
      <c r="C162" s="385"/>
    </row>
    <row r="163" spans="1:3" ht="15">
      <c r="A163" s="387"/>
      <c r="B163" s="386"/>
      <c r="C163" s="385"/>
    </row>
    <row r="164" spans="2:3" ht="15">
      <c r="B164" s="386"/>
      <c r="C164" s="385"/>
    </row>
    <row r="165" spans="2:3" ht="15">
      <c r="B165" s="386"/>
      <c r="C165" s="385"/>
    </row>
    <row r="166" spans="2:3" ht="15">
      <c r="B166" s="386"/>
      <c r="C166" s="385"/>
    </row>
    <row r="167" spans="2:3" ht="15">
      <c r="B167" s="386"/>
      <c r="C167" s="385"/>
    </row>
    <row r="168" spans="1:3" ht="15">
      <c r="A168" s="387"/>
      <c r="B168" s="386"/>
      <c r="C168" s="388"/>
    </row>
    <row r="169" spans="1:3" ht="15">
      <c r="A169" s="387"/>
      <c r="B169" s="386"/>
      <c r="C169" s="388"/>
    </row>
    <row r="170" spans="1:3" ht="15">
      <c r="A170" s="387"/>
      <c r="B170" s="386"/>
      <c r="C170" s="385"/>
    </row>
    <row r="171" spans="2:3" ht="15">
      <c r="B171" s="386"/>
      <c r="C171" s="388"/>
    </row>
    <row r="172" spans="2:3" ht="15">
      <c r="B172" s="386"/>
      <c r="C172" s="385"/>
    </row>
    <row r="173" spans="1:3" ht="15">
      <c r="A173" s="387"/>
      <c r="B173" s="386"/>
      <c r="C173" s="385"/>
    </row>
    <row r="174" spans="2:3" ht="15">
      <c r="B174" s="386"/>
      <c r="C174" s="385"/>
    </row>
    <row r="175" spans="2:3" ht="15">
      <c r="B175" s="386"/>
      <c r="C175" s="385"/>
    </row>
    <row r="176" spans="1:3" ht="15">
      <c r="A176" s="387"/>
      <c r="B176" s="386"/>
      <c r="C176" s="388"/>
    </row>
    <row r="177" spans="2:3" ht="15">
      <c r="B177" s="386"/>
      <c r="C177" s="385"/>
    </row>
    <row r="178" spans="1:3" ht="15">
      <c r="A178" s="382"/>
      <c r="B178" s="383"/>
      <c r="C178" s="385"/>
    </row>
    <row r="179" spans="1:3" ht="15">
      <c r="A179" s="382"/>
      <c r="B179" s="383"/>
      <c r="C179" s="385"/>
    </row>
    <row r="180" spans="2:3" ht="15">
      <c r="B180" s="386"/>
      <c r="C180" s="385"/>
    </row>
    <row r="181" spans="2:3" ht="15">
      <c r="B181" s="386"/>
      <c r="C181" s="385"/>
    </row>
    <row r="182" spans="2:3" ht="15">
      <c r="B182" s="386"/>
      <c r="C182" s="385"/>
    </row>
    <row r="183" spans="2:3" ht="15">
      <c r="B183" s="386"/>
      <c r="C183" s="385"/>
    </row>
    <row r="184" spans="2:3" ht="15">
      <c r="B184" s="386"/>
      <c r="C184" s="385"/>
    </row>
    <row r="185" spans="2:3" ht="15">
      <c r="B185" s="386"/>
      <c r="C185" s="385"/>
    </row>
    <row r="186" spans="2:3" ht="15">
      <c r="B186" s="386"/>
      <c r="C186" s="385"/>
    </row>
    <row r="187" spans="2:3" ht="15">
      <c r="B187" s="386"/>
      <c r="C187" s="385"/>
    </row>
    <row r="188" spans="1:3" ht="15">
      <c r="A188" s="387"/>
      <c r="B188" s="386"/>
      <c r="C188" s="388"/>
    </row>
    <row r="189" spans="2:3" ht="15">
      <c r="B189" s="386"/>
      <c r="C189" s="385"/>
    </row>
    <row r="190" spans="1:3" ht="15">
      <c r="A190" s="389"/>
      <c r="B190" s="390"/>
      <c r="C190" s="385"/>
    </row>
    <row r="191" spans="2:3" ht="15">
      <c r="B191" s="386"/>
      <c r="C191" s="385"/>
    </row>
    <row r="192" spans="2:3" ht="15">
      <c r="B192" s="386"/>
      <c r="C192" s="385"/>
    </row>
    <row r="193" spans="1:3" ht="15">
      <c r="A193" s="387"/>
      <c r="B193" s="386"/>
      <c r="C193" s="38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J97"/>
  <sheetViews>
    <sheetView zoomScalePageLayoutView="0" workbookViewId="0" topLeftCell="A67">
      <selection activeCell="F34" sqref="F34"/>
    </sheetView>
  </sheetViews>
  <sheetFormatPr defaultColWidth="9.140625" defaultRowHeight="15"/>
  <cols>
    <col min="1" max="1" width="30.57421875" style="0" customWidth="1"/>
    <col min="6" max="6" width="30.140625" style="0" bestFit="1" customWidth="1"/>
  </cols>
  <sheetData>
    <row r="1" spans="1:4" ht="30">
      <c r="A1" s="609" t="s">
        <v>508</v>
      </c>
      <c r="B1" s="610" t="s">
        <v>398</v>
      </c>
      <c r="C1" s="611" t="s">
        <v>353</v>
      </c>
      <c r="D1" s="387"/>
    </row>
    <row r="2" spans="1:4" ht="15">
      <c r="A2" s="618" t="s">
        <v>443</v>
      </c>
      <c r="B2" s="621"/>
      <c r="C2" s="612"/>
      <c r="D2" s="387"/>
    </row>
    <row r="3" spans="1:4" ht="15">
      <c r="A3" s="613" t="s">
        <v>444</v>
      </c>
      <c r="B3" s="614"/>
      <c r="C3" s="612">
        <f>SUM(82614,885)</f>
        <v>83499</v>
      </c>
      <c r="D3" s="387"/>
    </row>
    <row r="4" spans="1:4" ht="15">
      <c r="A4" s="613" t="s">
        <v>468</v>
      </c>
      <c r="B4" s="614"/>
      <c r="C4" s="612">
        <f>SUM(82614,1164)</f>
        <v>83778</v>
      </c>
      <c r="D4" s="387"/>
    </row>
    <row r="5" spans="1:4" ht="15">
      <c r="A5" s="613" t="s">
        <v>445</v>
      </c>
      <c r="B5" s="614"/>
      <c r="C5" s="612">
        <v>57222</v>
      </c>
      <c r="D5" s="387"/>
    </row>
    <row r="6" spans="1:4" ht="15">
      <c r="A6" s="615" t="s">
        <v>316</v>
      </c>
      <c r="B6" s="614" t="s">
        <v>446</v>
      </c>
      <c r="C6" s="616">
        <f>SUM(C3:C5)</f>
        <v>224499</v>
      </c>
      <c r="D6" s="387"/>
    </row>
    <row r="7" spans="1:4" ht="15">
      <c r="A7" s="613"/>
      <c r="B7" s="614"/>
      <c r="C7" s="612"/>
      <c r="D7" s="387"/>
    </row>
    <row r="8" spans="1:4" ht="15">
      <c r="A8" s="618" t="s">
        <v>447</v>
      </c>
      <c r="B8" s="621"/>
      <c r="C8" s="612"/>
      <c r="D8" s="387"/>
    </row>
    <row r="9" spans="1:4" ht="15">
      <c r="A9" s="613" t="s">
        <v>448</v>
      </c>
      <c r="B9" s="614"/>
      <c r="C9" s="612">
        <v>61465</v>
      </c>
      <c r="D9" s="387"/>
    </row>
    <row r="10" spans="1:3" ht="15">
      <c r="A10" s="613" t="s">
        <v>541</v>
      </c>
      <c r="B10" s="614"/>
      <c r="C10" s="612">
        <v>52467</v>
      </c>
    </row>
    <row r="11" spans="1:4" ht="15">
      <c r="A11" s="613" t="s">
        <v>466</v>
      </c>
      <c r="B11" s="614"/>
      <c r="C11" s="612">
        <v>65896</v>
      </c>
      <c r="D11" s="387"/>
    </row>
    <row r="12" spans="1:4" ht="15">
      <c r="A12" s="615" t="s">
        <v>316</v>
      </c>
      <c r="B12" s="614" t="s">
        <v>449</v>
      </c>
      <c r="C12" s="616">
        <f>SUM(C9:C11)</f>
        <v>179828</v>
      </c>
      <c r="D12" s="387"/>
    </row>
    <row r="13" spans="1:4" ht="15">
      <c r="A13" s="613"/>
      <c r="B13" s="614"/>
      <c r="C13" s="612"/>
      <c r="D13" s="387"/>
    </row>
    <row r="14" spans="1:4" ht="15">
      <c r="A14" s="618" t="s">
        <v>450</v>
      </c>
      <c r="B14" s="621"/>
      <c r="C14" s="612"/>
      <c r="D14" s="387"/>
    </row>
    <row r="15" spans="1:4" ht="15">
      <c r="A15" s="613" t="s">
        <v>453</v>
      </c>
      <c r="B15" s="614"/>
      <c r="C15" s="612">
        <v>51693</v>
      </c>
      <c r="D15" s="387"/>
    </row>
    <row r="16" spans="1:4" ht="15">
      <c r="A16" s="613" t="s">
        <v>451</v>
      </c>
      <c r="B16" s="614"/>
      <c r="C16" s="612">
        <v>81862</v>
      </c>
      <c r="D16" s="387"/>
    </row>
    <row r="17" spans="1:5" ht="15">
      <c r="A17" s="613" t="s">
        <v>734</v>
      </c>
      <c r="B17" s="614"/>
      <c r="C17" s="612">
        <v>51137</v>
      </c>
      <c r="D17" s="387"/>
      <c r="E17" s="385"/>
    </row>
    <row r="18" spans="1:4" ht="15">
      <c r="A18" s="613" t="s">
        <v>825</v>
      </c>
      <c r="B18" s="614"/>
      <c r="C18" s="612">
        <v>55000</v>
      </c>
      <c r="D18" s="387"/>
    </row>
    <row r="19" spans="1:4" ht="15">
      <c r="A19" s="615" t="s">
        <v>316</v>
      </c>
      <c r="B19" s="614" t="s">
        <v>454</v>
      </c>
      <c r="C19" s="616">
        <f>SUM(C15:C18)</f>
        <v>239692</v>
      </c>
      <c r="D19" s="387"/>
    </row>
    <row r="20" spans="1:4" ht="15">
      <c r="A20" s="613"/>
      <c r="B20" s="614"/>
      <c r="C20" s="612"/>
      <c r="D20" s="387"/>
    </row>
    <row r="21" spans="1:4" ht="15">
      <c r="A21" s="618" t="s">
        <v>455</v>
      </c>
      <c r="B21" s="621"/>
      <c r="C21" s="612"/>
      <c r="D21" s="387"/>
    </row>
    <row r="22" spans="1:4" ht="15">
      <c r="A22" s="613" t="s">
        <v>458</v>
      </c>
      <c r="B22" s="614"/>
      <c r="C22" s="612">
        <f>SUM(76779,885)</f>
        <v>77664</v>
      </c>
      <c r="D22" s="387"/>
    </row>
    <row r="23" spans="1:4" ht="15">
      <c r="A23" s="613" t="s">
        <v>456</v>
      </c>
      <c r="B23" s="614"/>
      <c r="C23" s="612">
        <v>51932</v>
      </c>
      <c r="D23" s="387"/>
    </row>
    <row r="24" spans="1:4" ht="15">
      <c r="A24" s="613" t="s">
        <v>457</v>
      </c>
      <c r="B24" s="614"/>
      <c r="C24" s="612">
        <f>SUM(76779,774)</f>
        <v>77553</v>
      </c>
      <c r="D24" s="387"/>
    </row>
    <row r="25" spans="1:4" ht="15">
      <c r="A25" s="615" t="s">
        <v>316</v>
      </c>
      <c r="B25" s="614" t="s">
        <v>459</v>
      </c>
      <c r="C25" s="616">
        <f>SUM(C22:C24)</f>
        <v>207149</v>
      </c>
      <c r="D25" s="387"/>
    </row>
    <row r="26" spans="1:4" ht="15">
      <c r="A26" s="613"/>
      <c r="B26" s="614"/>
      <c r="C26" s="612"/>
      <c r="D26" s="387"/>
    </row>
    <row r="27" spans="1:4" ht="15">
      <c r="A27" s="618" t="s">
        <v>460</v>
      </c>
      <c r="B27" s="621"/>
      <c r="C27" s="612"/>
      <c r="D27" s="387"/>
    </row>
    <row r="28" spans="1:4" ht="15">
      <c r="A28" s="613" t="s">
        <v>462</v>
      </c>
      <c r="B28" s="614"/>
      <c r="C28" s="612">
        <f>SUM(71624,774)</f>
        <v>72398</v>
      </c>
      <c r="D28" s="387"/>
    </row>
    <row r="29" spans="1:4" ht="15">
      <c r="A29" s="613" t="s">
        <v>463</v>
      </c>
      <c r="B29" s="614"/>
      <c r="C29" s="612">
        <f>SUM(76779,1164)</f>
        <v>77943</v>
      </c>
      <c r="D29" s="387"/>
    </row>
    <row r="30" spans="1:4" ht="15">
      <c r="A30" s="613" t="s">
        <v>461</v>
      </c>
      <c r="B30" s="614"/>
      <c r="C30" s="612">
        <f>SUM(82614,1609)</f>
        <v>84223</v>
      </c>
      <c r="D30" s="387"/>
    </row>
    <row r="31" spans="1:4" ht="15">
      <c r="A31" s="615" t="s">
        <v>316</v>
      </c>
      <c r="B31" s="614" t="s">
        <v>464</v>
      </c>
      <c r="C31" s="616">
        <f>SUM(C28:C30)</f>
        <v>234564</v>
      </c>
      <c r="D31" s="387"/>
    </row>
    <row r="32" spans="1:4" ht="15">
      <c r="A32" s="613"/>
      <c r="B32" s="614"/>
      <c r="C32" s="612"/>
      <c r="D32" s="387"/>
    </row>
    <row r="33" spans="1:10" ht="15">
      <c r="A33" s="618" t="s">
        <v>465</v>
      </c>
      <c r="B33" s="621"/>
      <c r="C33" s="612"/>
      <c r="D33" s="387"/>
      <c r="J33" s="381"/>
    </row>
    <row r="34" spans="1:5" ht="15">
      <c r="A34" s="613" t="s">
        <v>427</v>
      </c>
      <c r="B34" s="614"/>
      <c r="C34" s="612">
        <v>61465</v>
      </c>
      <c r="D34" s="387"/>
      <c r="E34" s="385"/>
    </row>
    <row r="35" spans="1:4" ht="15">
      <c r="A35" s="613" t="s">
        <v>467</v>
      </c>
      <c r="B35" s="614"/>
      <c r="C35" s="612">
        <v>63581</v>
      </c>
      <c r="D35" s="387"/>
    </row>
    <row r="36" spans="1:4" ht="15">
      <c r="A36" s="615" t="s">
        <v>316</v>
      </c>
      <c r="B36" s="614" t="s">
        <v>469</v>
      </c>
      <c r="C36" s="616">
        <f>SUM(C34:C35)</f>
        <v>125046</v>
      </c>
      <c r="D36" s="387"/>
    </row>
    <row r="37" spans="1:4" ht="15">
      <c r="A37" s="613"/>
      <c r="B37" s="614"/>
      <c r="C37" s="612"/>
      <c r="D37" s="387"/>
    </row>
    <row r="38" spans="1:4" ht="15">
      <c r="A38" s="613"/>
      <c r="B38" s="614"/>
      <c r="C38" s="612"/>
      <c r="D38" s="387"/>
    </row>
    <row r="39" spans="1:7" ht="15">
      <c r="A39" s="618" t="s">
        <v>470</v>
      </c>
      <c r="B39" s="621"/>
      <c r="C39" s="612"/>
      <c r="D39" s="387"/>
      <c r="F39" s="389"/>
      <c r="G39" s="385"/>
    </row>
    <row r="40" spans="1:7" ht="15">
      <c r="A40" s="613" t="s">
        <v>471</v>
      </c>
      <c r="B40" s="614"/>
      <c r="C40" s="612">
        <f>SUM(68989,1609)</f>
        <v>70598</v>
      </c>
      <c r="D40" s="387"/>
      <c r="G40" s="385"/>
    </row>
    <row r="41" spans="1:7" ht="15">
      <c r="A41" s="613" t="s">
        <v>473</v>
      </c>
      <c r="B41" s="614"/>
      <c r="C41" s="612">
        <f>SUM(76779,1164)</f>
        <v>77943</v>
      </c>
      <c r="D41" s="387"/>
      <c r="G41" s="385"/>
    </row>
    <row r="42" spans="1:7" ht="15">
      <c r="A42" s="613" t="s">
        <v>591</v>
      </c>
      <c r="B42" s="614"/>
      <c r="C42" s="612">
        <v>64377</v>
      </c>
      <c r="D42" s="387"/>
      <c r="G42" s="385"/>
    </row>
    <row r="43" spans="1:7" ht="15">
      <c r="A43" s="613" t="s">
        <v>472</v>
      </c>
      <c r="B43" s="614"/>
      <c r="C43" s="612">
        <f>SUM(76779,1164)</f>
        <v>77943</v>
      </c>
      <c r="D43" s="387"/>
      <c r="G43" s="385"/>
    </row>
    <row r="44" spans="1:7" ht="15">
      <c r="A44" s="615" t="s">
        <v>316</v>
      </c>
      <c r="B44" s="614" t="s">
        <v>474</v>
      </c>
      <c r="C44" s="616">
        <f>SUM(C40:C43)</f>
        <v>290861</v>
      </c>
      <c r="D44" s="387"/>
      <c r="G44" s="385"/>
    </row>
    <row r="45" spans="1:7" ht="15">
      <c r="A45" s="613"/>
      <c r="B45" s="614"/>
      <c r="C45" s="612"/>
      <c r="D45" s="387"/>
      <c r="G45" s="385"/>
    </row>
    <row r="46" spans="1:7" ht="15">
      <c r="A46" s="618" t="s">
        <v>475</v>
      </c>
      <c r="B46" s="621"/>
      <c r="C46" s="612"/>
      <c r="D46" s="387"/>
      <c r="G46" s="385"/>
    </row>
    <row r="47" spans="1:8" ht="15">
      <c r="A47" s="613" t="s">
        <v>476</v>
      </c>
      <c r="B47" s="614"/>
      <c r="C47" s="612">
        <v>34295</v>
      </c>
      <c r="D47" s="387"/>
      <c r="G47" s="385"/>
      <c r="H47" s="637"/>
    </row>
    <row r="48" spans="1:7" ht="15">
      <c r="A48" s="613" t="s">
        <v>430</v>
      </c>
      <c r="B48" s="614"/>
      <c r="C48" s="612">
        <v>55323</v>
      </c>
      <c r="D48" s="387"/>
      <c r="G48" s="385"/>
    </row>
    <row r="49" spans="1:7" ht="15">
      <c r="A49" s="836" t="s">
        <v>721</v>
      </c>
      <c r="B49" s="651"/>
      <c r="C49" s="651"/>
      <c r="D49" s="387"/>
      <c r="G49" s="385"/>
    </row>
    <row r="50" spans="1:7" ht="15">
      <c r="A50" s="651" t="s">
        <v>567</v>
      </c>
      <c r="B50" s="651"/>
      <c r="C50" s="826">
        <v>10000</v>
      </c>
      <c r="D50" s="387"/>
      <c r="G50" s="385"/>
    </row>
    <row r="51" spans="1:7" ht="15">
      <c r="A51" s="651" t="s">
        <v>588</v>
      </c>
      <c r="B51" s="651"/>
      <c r="C51" s="826">
        <v>10000</v>
      </c>
      <c r="D51" s="387"/>
      <c r="G51" s="385"/>
    </row>
    <row r="52" spans="1:8" ht="15">
      <c r="A52" s="881" t="s">
        <v>722</v>
      </c>
      <c r="B52" s="651"/>
      <c r="C52" s="826"/>
      <c r="D52" s="387"/>
      <c r="G52" s="385"/>
      <c r="H52" s="637"/>
    </row>
    <row r="53" spans="1:7" ht="15">
      <c r="A53" s="615" t="s">
        <v>316</v>
      </c>
      <c r="B53" s="614" t="s">
        <v>477</v>
      </c>
      <c r="C53" s="616">
        <f>SUM(C47:C52)</f>
        <v>109618</v>
      </c>
      <c r="D53" s="387"/>
      <c r="G53" s="385"/>
    </row>
    <row r="54" spans="1:7" ht="15">
      <c r="A54" s="613"/>
      <c r="B54" s="614"/>
      <c r="C54" s="612"/>
      <c r="D54" s="387"/>
      <c r="G54" s="385"/>
    </row>
    <row r="55" spans="1:7" ht="15">
      <c r="A55" s="618" t="s">
        <v>478</v>
      </c>
      <c r="B55" s="621"/>
      <c r="C55" s="612"/>
      <c r="D55" s="387"/>
      <c r="G55" s="385"/>
    </row>
    <row r="56" spans="1:4" ht="15">
      <c r="A56" s="613" t="s">
        <v>479</v>
      </c>
      <c r="B56" s="614"/>
      <c r="C56" s="612">
        <v>76779</v>
      </c>
      <c r="D56" s="387"/>
    </row>
    <row r="57" spans="1:7" ht="15">
      <c r="A57" s="615" t="s">
        <v>316</v>
      </c>
      <c r="B57" s="614" t="s">
        <v>129</v>
      </c>
      <c r="C57" s="616">
        <f>SUM(C56:C56)</f>
        <v>76779</v>
      </c>
      <c r="D57" s="387"/>
      <c r="G57" s="385"/>
    </row>
    <row r="58" spans="1:7" ht="15">
      <c r="A58" s="613"/>
      <c r="B58" s="614"/>
      <c r="C58" s="612"/>
      <c r="D58" s="387"/>
      <c r="G58" s="385"/>
    </row>
    <row r="59" spans="1:7" ht="15">
      <c r="A59" s="618" t="s">
        <v>480</v>
      </c>
      <c r="B59" s="621"/>
      <c r="C59" s="612"/>
      <c r="D59" s="387"/>
      <c r="G59" s="385"/>
    </row>
    <row r="60" spans="1:4" ht="15">
      <c r="A60" s="613" t="s">
        <v>735</v>
      </c>
      <c r="B60" s="621"/>
      <c r="C60" s="612">
        <v>33579</v>
      </c>
      <c r="D60" s="387"/>
    </row>
    <row r="61" spans="1:4" ht="15">
      <c r="A61" s="613" t="s">
        <v>481</v>
      </c>
      <c r="B61" s="614"/>
      <c r="C61" s="612">
        <f>SUM(76779,885)</f>
        <v>77664</v>
      </c>
      <c r="D61" s="387"/>
    </row>
    <row r="62" spans="1:4" ht="15">
      <c r="A62" s="615" t="s">
        <v>316</v>
      </c>
      <c r="B62" s="614"/>
      <c r="C62" s="616">
        <f>SUM(C60:C61)</f>
        <v>111243</v>
      </c>
      <c r="D62" s="387"/>
    </row>
    <row r="63" spans="1:4" ht="15">
      <c r="A63" s="615"/>
      <c r="B63" s="614"/>
      <c r="C63" s="616"/>
      <c r="D63" s="387"/>
    </row>
    <row r="64" spans="1:4" ht="15">
      <c r="A64" s="618" t="s">
        <v>482</v>
      </c>
      <c r="B64" s="621"/>
      <c r="C64" s="612"/>
      <c r="D64" s="387"/>
    </row>
    <row r="65" spans="1:4" ht="15">
      <c r="A65" s="613" t="s">
        <v>590</v>
      </c>
      <c r="B65" s="614" t="s">
        <v>483</v>
      </c>
      <c r="C65" s="616">
        <v>82614</v>
      </c>
      <c r="D65" s="387"/>
    </row>
    <row r="66" spans="1:4" ht="15">
      <c r="A66" s="615" t="s">
        <v>316</v>
      </c>
      <c r="B66" s="614"/>
      <c r="C66" s="616">
        <f>SUM(C65:C65)</f>
        <v>82614</v>
      </c>
      <c r="D66" s="387"/>
    </row>
    <row r="67" spans="1:4" ht="15">
      <c r="A67" s="613"/>
      <c r="B67" s="614"/>
      <c r="C67" s="612"/>
      <c r="D67" s="387"/>
    </row>
    <row r="68" spans="1:4" ht="15">
      <c r="A68" s="618" t="s">
        <v>484</v>
      </c>
      <c r="B68" s="621"/>
      <c r="C68" s="612"/>
      <c r="D68" s="387"/>
    </row>
    <row r="69" spans="1:3" ht="15">
      <c r="A69" s="613" t="s">
        <v>485</v>
      </c>
      <c r="B69" s="614">
        <v>243</v>
      </c>
      <c r="C69" s="616">
        <f>SUM(82614,885)</f>
        <v>83499</v>
      </c>
    </row>
    <row r="70" spans="1:3" ht="15">
      <c r="A70" s="613"/>
      <c r="B70" s="614"/>
      <c r="C70" s="612"/>
    </row>
    <row r="71" spans="1:3" ht="15">
      <c r="A71" s="618" t="s">
        <v>486</v>
      </c>
      <c r="B71" s="621"/>
      <c r="C71" s="612"/>
    </row>
    <row r="72" spans="1:3" ht="15">
      <c r="A72" s="613" t="s">
        <v>487</v>
      </c>
      <c r="B72" s="614" t="s">
        <v>488</v>
      </c>
      <c r="C72" s="616">
        <f>SUM(76779,885)</f>
        <v>77664</v>
      </c>
    </row>
    <row r="73" spans="1:3" ht="15">
      <c r="A73" s="613"/>
      <c r="B73" s="613"/>
      <c r="C73" s="613"/>
    </row>
    <row r="74" spans="1:3" ht="15">
      <c r="A74" s="618" t="s">
        <v>534</v>
      </c>
      <c r="B74" s="613"/>
      <c r="C74" s="613"/>
    </row>
    <row r="75" spans="1:4" ht="15">
      <c r="A75" s="613" t="s">
        <v>535</v>
      </c>
      <c r="B75" s="613"/>
      <c r="C75" s="612">
        <f>SUM(91361,1400)</f>
        <v>92761</v>
      </c>
      <c r="D75" t="s">
        <v>781</v>
      </c>
    </row>
    <row r="76" spans="1:3" ht="15">
      <c r="A76" s="613" t="s">
        <v>736</v>
      </c>
      <c r="B76" s="613"/>
      <c r="C76" s="612">
        <v>58005</v>
      </c>
    </row>
    <row r="77" spans="1:3" ht="15">
      <c r="A77" s="613" t="s">
        <v>536</v>
      </c>
      <c r="B77" s="613"/>
      <c r="C77" s="612">
        <f>SUM(77067,774)</f>
        <v>77841</v>
      </c>
    </row>
    <row r="78" spans="1:3" ht="15">
      <c r="A78" s="615" t="s">
        <v>316</v>
      </c>
      <c r="B78" s="624">
        <v>244</v>
      </c>
      <c r="C78" s="616">
        <f>SUM(C75:C77)</f>
        <v>228607</v>
      </c>
    </row>
    <row r="79" spans="1:3" ht="15">
      <c r="A79" s="613"/>
      <c r="B79" s="613"/>
      <c r="C79" s="613"/>
    </row>
    <row r="80" spans="1:3" ht="15">
      <c r="A80" s="618" t="s">
        <v>437</v>
      </c>
      <c r="B80" s="613"/>
      <c r="C80" s="613"/>
    </row>
    <row r="81" spans="1:3" ht="15">
      <c r="A81" s="613"/>
      <c r="B81" s="613"/>
      <c r="C81" s="612"/>
    </row>
    <row r="82" spans="1:3" ht="15">
      <c r="A82" s="613" t="s">
        <v>538</v>
      </c>
      <c r="B82" s="613"/>
      <c r="C82" s="612">
        <v>19456</v>
      </c>
    </row>
    <row r="83" spans="1:3" ht="15">
      <c r="A83" s="615" t="s">
        <v>316</v>
      </c>
      <c r="B83" s="624">
        <v>263</v>
      </c>
      <c r="C83" s="616">
        <f>SUM(C81:C82)</f>
        <v>19456</v>
      </c>
    </row>
    <row r="84" spans="1:3" ht="15">
      <c r="A84" s="613"/>
      <c r="B84" s="613"/>
      <c r="C84" s="613"/>
    </row>
    <row r="85" spans="1:3" ht="15">
      <c r="A85" s="618" t="s">
        <v>93</v>
      </c>
      <c r="B85" s="613"/>
      <c r="C85" s="613"/>
    </row>
    <row r="86" spans="1:3" ht="15">
      <c r="A86" s="613" t="s">
        <v>795</v>
      </c>
      <c r="B86" s="624">
        <v>253</v>
      </c>
      <c r="C86" s="616">
        <v>14000</v>
      </c>
    </row>
    <row r="87" spans="1:3" ht="15">
      <c r="A87" s="613"/>
      <c r="B87" s="625"/>
      <c r="C87" s="612"/>
    </row>
    <row r="88" spans="1:3" ht="15">
      <c r="A88" s="618" t="s">
        <v>393</v>
      </c>
      <c r="B88" s="625"/>
      <c r="C88" s="612"/>
    </row>
    <row r="89" spans="1:3" ht="15">
      <c r="A89" s="613" t="s">
        <v>540</v>
      </c>
      <c r="B89" s="624">
        <v>247</v>
      </c>
      <c r="C89" s="616">
        <f>SUM(68114,885)</f>
        <v>68999</v>
      </c>
    </row>
    <row r="90" spans="1:3" ht="15">
      <c r="A90" s="613"/>
      <c r="B90" s="613"/>
      <c r="C90" s="612"/>
    </row>
    <row r="91" spans="1:3" ht="15">
      <c r="A91" s="618" t="s">
        <v>441</v>
      </c>
      <c r="B91" s="613"/>
      <c r="C91" s="612"/>
    </row>
    <row r="92" spans="1:3" ht="15">
      <c r="A92" s="613" t="s">
        <v>782</v>
      </c>
      <c r="B92" s="613"/>
      <c r="C92" s="616">
        <f>PRODUCT(200,7.5,22.59)</f>
        <v>33885</v>
      </c>
    </row>
    <row r="93" spans="1:3" ht="15">
      <c r="A93" s="613" t="s">
        <v>783</v>
      </c>
      <c r="B93" s="613"/>
      <c r="C93" s="616">
        <v>1430</v>
      </c>
    </row>
    <row r="94" spans="1:3" ht="15">
      <c r="A94" s="613" t="s">
        <v>737</v>
      </c>
      <c r="B94" s="613"/>
      <c r="C94" s="616">
        <f>PRODUCT(200,6,20.08)</f>
        <v>24095.999999999996</v>
      </c>
    </row>
    <row r="95" spans="1:3" ht="15">
      <c r="A95" s="615" t="s">
        <v>316</v>
      </c>
      <c r="B95" s="624">
        <v>233</v>
      </c>
      <c r="C95" s="616">
        <f>SUM(C92:C94)</f>
        <v>59411</v>
      </c>
    </row>
    <row r="97" ht="15">
      <c r="A97" s="65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I121"/>
  <sheetViews>
    <sheetView zoomScalePageLayoutView="0" workbookViewId="0" topLeftCell="A64">
      <selection activeCell="F34" sqref="F34"/>
    </sheetView>
  </sheetViews>
  <sheetFormatPr defaultColWidth="9.140625" defaultRowHeight="15"/>
  <cols>
    <col min="1" max="1" width="26.421875" style="0" bestFit="1" customWidth="1"/>
    <col min="4" max="4" width="9.140625" style="645" customWidth="1"/>
  </cols>
  <sheetData>
    <row r="1" spans="1:3" ht="30">
      <c r="A1" s="609" t="s">
        <v>489</v>
      </c>
      <c r="B1" s="610" t="s">
        <v>398</v>
      </c>
      <c r="C1" s="609" t="s">
        <v>353</v>
      </c>
    </row>
    <row r="2" spans="1:3" ht="15">
      <c r="A2" s="609" t="s">
        <v>381</v>
      </c>
      <c r="B2" s="610"/>
      <c r="C2" s="612"/>
    </row>
    <row r="3" spans="1:3" ht="15">
      <c r="A3" s="615" t="s">
        <v>490</v>
      </c>
      <c r="B3" s="614"/>
      <c r="C3" s="612"/>
    </row>
    <row r="4" spans="1:3" ht="15">
      <c r="A4" s="613" t="s">
        <v>492</v>
      </c>
      <c r="B4" s="614"/>
      <c r="C4" s="612">
        <f>SUM(77692,1609)</f>
        <v>79301</v>
      </c>
    </row>
    <row r="5" spans="1:3" ht="15">
      <c r="A5" s="613" t="s">
        <v>744</v>
      </c>
      <c r="B5" s="614"/>
      <c r="C5" s="612">
        <v>55000</v>
      </c>
    </row>
    <row r="6" spans="1:3" ht="15">
      <c r="A6" s="613" t="s">
        <v>738</v>
      </c>
      <c r="B6" s="614"/>
      <c r="C6" s="612">
        <v>47169</v>
      </c>
    </row>
    <row r="7" spans="1:3" ht="15">
      <c r="A7" s="615" t="s">
        <v>316</v>
      </c>
      <c r="B7" s="614" t="s">
        <v>494</v>
      </c>
      <c r="C7" s="616">
        <f>SUM(C4:C6)</f>
        <v>181470</v>
      </c>
    </row>
    <row r="8" spans="1:3" ht="15">
      <c r="A8" s="615"/>
      <c r="B8" s="614"/>
      <c r="C8" s="616"/>
    </row>
    <row r="9" spans="1:3" ht="15">
      <c r="A9" s="615" t="s">
        <v>570</v>
      </c>
      <c r="B9" s="614"/>
      <c r="C9" s="612"/>
    </row>
    <row r="10" spans="1:3" ht="15">
      <c r="A10" s="613" t="s">
        <v>495</v>
      </c>
      <c r="B10" s="614">
        <v>39</v>
      </c>
      <c r="C10" s="616">
        <f>SUM(39289,443)</f>
        <v>39732</v>
      </c>
    </row>
    <row r="11" spans="1:3" ht="15">
      <c r="A11" s="613"/>
      <c r="B11" s="614"/>
      <c r="C11" s="612"/>
    </row>
    <row r="12" spans="1:3" ht="15">
      <c r="A12" s="615" t="s">
        <v>496</v>
      </c>
      <c r="B12" s="614"/>
      <c r="C12" s="612"/>
    </row>
    <row r="13" spans="1:3" ht="15">
      <c r="A13" s="613" t="s">
        <v>498</v>
      </c>
      <c r="B13" s="614"/>
      <c r="C13" s="612">
        <v>63581</v>
      </c>
    </row>
    <row r="14" spans="1:3" ht="15">
      <c r="A14" s="613" t="s">
        <v>497</v>
      </c>
      <c r="B14" s="614"/>
      <c r="C14" s="612">
        <v>82614</v>
      </c>
    </row>
    <row r="15" spans="1:3" ht="15">
      <c r="A15" s="615" t="s">
        <v>316</v>
      </c>
      <c r="B15" s="614" t="s">
        <v>499</v>
      </c>
      <c r="C15" s="616">
        <f>SUM(C13:C14)</f>
        <v>146195</v>
      </c>
    </row>
    <row r="16" spans="1:3" ht="15">
      <c r="A16" s="613"/>
      <c r="B16" s="614"/>
      <c r="C16" s="612"/>
    </row>
    <row r="17" spans="1:3" ht="15">
      <c r="A17" s="609" t="s">
        <v>397</v>
      </c>
      <c r="B17" s="610"/>
      <c r="C17" s="612"/>
    </row>
    <row r="18" spans="1:3" ht="15">
      <c r="A18" s="609" t="s">
        <v>500</v>
      </c>
      <c r="B18" s="610"/>
      <c r="C18" s="612"/>
    </row>
    <row r="19" spans="1:4" ht="15">
      <c r="A19" s="613" t="s">
        <v>790</v>
      </c>
      <c r="B19" s="614"/>
      <c r="C19" s="612">
        <v>57222</v>
      </c>
      <c r="D19"/>
    </row>
    <row r="20" spans="1:3" ht="15">
      <c r="A20" s="613" t="s">
        <v>791</v>
      </c>
      <c r="B20" s="614"/>
      <c r="C20" s="826">
        <v>47169</v>
      </c>
    </row>
    <row r="21" spans="1:3" ht="15">
      <c r="A21" s="613" t="s">
        <v>792</v>
      </c>
      <c r="B21" s="614"/>
      <c r="C21" s="612">
        <v>63581</v>
      </c>
    </row>
    <row r="22" spans="1:3" ht="15">
      <c r="A22" s="613" t="s">
        <v>501</v>
      </c>
      <c r="B22" s="614"/>
      <c r="C22" s="612">
        <v>71624</v>
      </c>
    </row>
    <row r="23" spans="1:3" ht="15">
      <c r="A23" s="613" t="s">
        <v>502</v>
      </c>
      <c r="B23" s="614"/>
      <c r="C23" s="612">
        <v>64820</v>
      </c>
    </row>
    <row r="24" spans="1:3" ht="15">
      <c r="A24" s="870" t="s">
        <v>793</v>
      </c>
      <c r="B24" s="871"/>
      <c r="C24" s="872">
        <v>0</v>
      </c>
    </row>
    <row r="25" spans="1:3" ht="15">
      <c r="A25" s="615" t="s">
        <v>316</v>
      </c>
      <c r="B25" s="614" t="s">
        <v>503</v>
      </c>
      <c r="C25" s="616">
        <f>SUM(C19:C24)</f>
        <v>304416</v>
      </c>
    </row>
    <row r="26" spans="1:3" ht="15">
      <c r="A26" s="613"/>
      <c r="B26" s="614"/>
      <c r="C26" s="612"/>
    </row>
    <row r="27" spans="1:3" ht="15">
      <c r="A27" s="613"/>
      <c r="B27" s="614"/>
      <c r="C27" s="612"/>
    </row>
    <row r="28" spans="1:3" ht="15">
      <c r="A28" s="609" t="s">
        <v>341</v>
      </c>
      <c r="B28" s="610"/>
      <c r="C28" s="612"/>
    </row>
    <row r="29" spans="1:3" ht="15">
      <c r="A29" s="609" t="s">
        <v>509</v>
      </c>
      <c r="B29" s="610"/>
      <c r="C29" s="612"/>
    </row>
    <row r="30" spans="1:3" ht="15">
      <c r="A30" s="613" t="s">
        <v>510</v>
      </c>
      <c r="B30" s="614"/>
      <c r="C30" s="612">
        <v>76779</v>
      </c>
    </row>
    <row r="31" spans="1:3" ht="15">
      <c r="A31" s="613" t="s">
        <v>512</v>
      </c>
      <c r="B31" s="614"/>
      <c r="C31" s="612">
        <f>SUM(77692,1164)</f>
        <v>78856</v>
      </c>
    </row>
    <row r="32" spans="1:3" ht="15">
      <c r="A32" s="613" t="s">
        <v>511</v>
      </c>
      <c r="B32" s="614"/>
      <c r="C32" s="612">
        <v>66692</v>
      </c>
    </row>
    <row r="33" spans="1:3" ht="15">
      <c r="A33" s="613" t="s">
        <v>513</v>
      </c>
      <c r="B33" s="614"/>
      <c r="C33" s="612">
        <f>SUM(82614,885)</f>
        <v>83499</v>
      </c>
    </row>
    <row r="34" spans="1:3" ht="15">
      <c r="A34" s="873" t="s">
        <v>798</v>
      </c>
      <c r="B34" s="874"/>
      <c r="C34" s="875">
        <v>0</v>
      </c>
    </row>
    <row r="35" spans="1:3" ht="15">
      <c r="A35" s="615" t="s">
        <v>316</v>
      </c>
      <c r="B35" s="614" t="s">
        <v>514</v>
      </c>
      <c r="C35" s="616">
        <f>SUM(C30:C34)</f>
        <v>305826</v>
      </c>
    </row>
    <row r="36" spans="1:3" ht="15">
      <c r="A36" s="613"/>
      <c r="B36" s="614"/>
      <c r="C36" s="612"/>
    </row>
    <row r="37" spans="1:3" ht="15">
      <c r="A37" s="609" t="s">
        <v>515</v>
      </c>
      <c r="B37" s="610"/>
      <c r="C37" s="612"/>
    </row>
    <row r="38" spans="1:3" ht="15">
      <c r="A38" s="613" t="s">
        <v>742</v>
      </c>
      <c r="B38" s="614"/>
      <c r="C38" s="612">
        <v>51137</v>
      </c>
    </row>
    <row r="39" spans="1:4" ht="15">
      <c r="A39" s="613" t="s">
        <v>743</v>
      </c>
      <c r="B39" s="614"/>
      <c r="C39" s="612">
        <v>47169</v>
      </c>
      <c r="D39" s="659"/>
    </row>
    <row r="40" spans="1:3" ht="15">
      <c r="A40" s="613" t="s">
        <v>516</v>
      </c>
      <c r="B40" s="614"/>
      <c r="C40" s="612">
        <v>76779</v>
      </c>
    </row>
    <row r="41" spans="1:3" ht="15">
      <c r="A41" s="615" t="s">
        <v>316</v>
      </c>
      <c r="B41" s="614">
        <v>56</v>
      </c>
      <c r="C41" s="616">
        <f>SUM(C38:C40)</f>
        <v>175085</v>
      </c>
    </row>
    <row r="42" spans="1:3" ht="15">
      <c r="A42" s="615"/>
      <c r="B42" s="614"/>
      <c r="C42" s="616"/>
    </row>
    <row r="43" spans="1:3" ht="15">
      <c r="A43" s="615" t="s">
        <v>788</v>
      </c>
      <c r="B43" s="614"/>
      <c r="C43" s="616"/>
    </row>
    <row r="44" spans="1:3" ht="15">
      <c r="A44" s="613" t="s">
        <v>739</v>
      </c>
      <c r="B44" s="614"/>
      <c r="C44" s="612">
        <v>51932</v>
      </c>
    </row>
    <row r="45" spans="1:3" ht="15">
      <c r="A45" s="613" t="s">
        <v>789</v>
      </c>
      <c r="B45" s="614"/>
      <c r="C45" s="612">
        <v>59480</v>
      </c>
    </row>
    <row r="46" spans="1:4" ht="15">
      <c r="A46" s="615" t="s">
        <v>316</v>
      </c>
      <c r="B46" s="614"/>
      <c r="C46" s="616">
        <f>SUM(C44:C45)</f>
        <v>111412</v>
      </c>
      <c r="D46" s="827"/>
    </row>
    <row r="47" spans="1:4" ht="15">
      <c r="A47" s="651"/>
      <c r="B47" s="825"/>
      <c r="C47" s="826"/>
      <c r="D47" s="827"/>
    </row>
    <row r="48" spans="1:4" ht="15">
      <c r="A48" s="828" t="s">
        <v>517</v>
      </c>
      <c r="B48" s="829"/>
      <c r="C48" s="826"/>
      <c r="D48" s="827"/>
    </row>
    <row r="49" spans="1:4" ht="15">
      <c r="A49" s="651" t="s">
        <v>780</v>
      </c>
      <c r="B49" s="825"/>
      <c r="C49" s="826">
        <v>68888</v>
      </c>
      <c r="D49" s="827"/>
    </row>
    <row r="50" spans="1:8" ht="15">
      <c r="A50" s="830" t="s">
        <v>745</v>
      </c>
      <c r="B50" s="831"/>
      <c r="C50" s="832">
        <v>57222</v>
      </c>
      <c r="D50" s="827"/>
      <c r="E50" s="661"/>
      <c r="F50" s="661"/>
      <c r="G50" s="661"/>
      <c r="H50" s="661"/>
    </row>
    <row r="51" spans="1:4" ht="15">
      <c r="A51" s="830" t="s">
        <v>746</v>
      </c>
      <c r="B51" s="831"/>
      <c r="C51" s="832">
        <v>57222</v>
      </c>
      <c r="D51" s="827"/>
    </row>
    <row r="52" spans="1:3" ht="15">
      <c r="A52" s="833" t="s">
        <v>316</v>
      </c>
      <c r="B52" s="825" t="s">
        <v>518</v>
      </c>
      <c r="C52" s="617">
        <f>SUM(C49:C51)</f>
        <v>183332</v>
      </c>
    </row>
    <row r="53" spans="1:5" ht="15">
      <c r="A53" s="613"/>
      <c r="B53" s="614"/>
      <c r="C53" s="612"/>
      <c r="D53"/>
      <c r="E53" s="385"/>
    </row>
    <row r="54" spans="1:5" ht="15">
      <c r="A54" s="609" t="s">
        <v>747</v>
      </c>
      <c r="B54" s="625"/>
      <c r="C54" s="612"/>
      <c r="D54"/>
      <c r="E54" s="385"/>
    </row>
    <row r="55" spans="1:3" ht="15">
      <c r="A55" s="613" t="s">
        <v>748</v>
      </c>
      <c r="B55" s="624"/>
      <c r="C55" s="616">
        <v>57222</v>
      </c>
    </row>
    <row r="56" spans="1:3" ht="15">
      <c r="A56" s="613"/>
      <c r="B56" s="614"/>
      <c r="C56" s="612"/>
    </row>
    <row r="57" spans="1:3" ht="15">
      <c r="A57" s="609" t="s">
        <v>519</v>
      </c>
      <c r="B57" s="610"/>
      <c r="C57" s="612"/>
    </row>
    <row r="58" spans="1:5" ht="15">
      <c r="A58" s="609" t="s">
        <v>381</v>
      </c>
      <c r="B58" s="610"/>
      <c r="C58" s="612"/>
      <c r="D58"/>
      <c r="E58" s="385"/>
    </row>
    <row r="59" spans="1:5" ht="15">
      <c r="A59" s="844" t="s">
        <v>749</v>
      </c>
      <c r="B59" s="627"/>
      <c r="C59" s="612">
        <f>PRODUCT(16.24*6.25*186)</f>
        <v>18878.999999999996</v>
      </c>
      <c r="D59" s="821" t="s">
        <v>800</v>
      </c>
      <c r="E59" s="385"/>
    </row>
    <row r="60" spans="1:5" ht="15">
      <c r="A60" s="844" t="s">
        <v>355</v>
      </c>
      <c r="B60" s="627"/>
      <c r="C60" s="612">
        <v>23745</v>
      </c>
      <c r="D60" s="821" t="s">
        <v>800</v>
      </c>
      <c r="E60" s="385"/>
    </row>
    <row r="61" spans="1:5" ht="15">
      <c r="A61" s="845" t="s">
        <v>364</v>
      </c>
      <c r="B61" s="629"/>
      <c r="C61" s="612">
        <f>PRODUCT(16.24*6.25*186)</f>
        <v>18878.999999999996</v>
      </c>
      <c r="D61" s="821" t="s">
        <v>800</v>
      </c>
      <c r="E61" s="385"/>
    </row>
    <row r="62" spans="1:5" ht="15">
      <c r="A62" s="844" t="s">
        <v>520</v>
      </c>
      <c r="B62" s="627"/>
      <c r="C62" s="612">
        <f>PRODUCT(16.99*6.25*186)</f>
        <v>19750.874999999996</v>
      </c>
      <c r="D62" s="821" t="s">
        <v>800</v>
      </c>
      <c r="E62" s="385" t="s">
        <v>802</v>
      </c>
    </row>
    <row r="63" spans="1:5" ht="15">
      <c r="A63" s="628" t="s">
        <v>521</v>
      </c>
      <c r="B63" s="629"/>
      <c r="C63" s="633">
        <v>5000</v>
      </c>
      <c r="D63" s="834"/>
      <c r="E63" s="385"/>
    </row>
    <row r="64" spans="1:5" ht="15">
      <c r="A64" s="626"/>
      <c r="B64" s="627"/>
      <c r="C64" s="612"/>
      <c r="D64" s="821"/>
      <c r="E64" s="385"/>
    </row>
    <row r="65" spans="1:3" ht="15">
      <c r="A65" s="615" t="s">
        <v>808</v>
      </c>
      <c r="B65" s="614" t="s">
        <v>522</v>
      </c>
      <c r="C65" s="616">
        <f>SUM(C58:C64)</f>
        <v>86253.875</v>
      </c>
    </row>
    <row r="66" spans="1:3" ht="15">
      <c r="A66" s="613"/>
      <c r="B66" s="614"/>
      <c r="C66" s="612"/>
    </row>
    <row r="67" spans="1:4" ht="15">
      <c r="A67" s="630" t="s">
        <v>397</v>
      </c>
      <c r="B67" s="631"/>
      <c r="C67" s="612"/>
      <c r="D67"/>
    </row>
    <row r="68" spans="1:8" ht="15">
      <c r="A68" s="840" t="s">
        <v>354</v>
      </c>
      <c r="B68" s="627"/>
      <c r="C68" s="612">
        <f>PRODUCT(16.99*6.25*186)</f>
        <v>19750.874999999996</v>
      </c>
      <c r="D68" s="821">
        <v>9000</v>
      </c>
      <c r="G68" s="847"/>
      <c r="H68" t="s">
        <v>803</v>
      </c>
    </row>
    <row r="69" spans="1:8" ht="15">
      <c r="A69" s="840" t="s">
        <v>359</v>
      </c>
      <c r="B69" s="627"/>
      <c r="C69" s="612">
        <f>SUM((20.24*6.25*186)+600)</f>
        <v>24128.999999999996</v>
      </c>
      <c r="D69" s="821">
        <v>9000</v>
      </c>
      <c r="E69" s="385"/>
      <c r="G69" s="848"/>
      <c r="H69" t="s">
        <v>804</v>
      </c>
    </row>
    <row r="70" spans="1:8" ht="15">
      <c r="A70" s="840" t="s">
        <v>363</v>
      </c>
      <c r="B70" s="627"/>
      <c r="C70" s="612">
        <f>SUM((19.91*6.25*186)+600)</f>
        <v>23745.375</v>
      </c>
      <c r="D70" s="821">
        <v>9000</v>
      </c>
      <c r="G70" s="849"/>
      <c r="H70" t="s">
        <v>805</v>
      </c>
    </row>
    <row r="71" spans="1:4" ht="15">
      <c r="A71" s="841" t="s">
        <v>356</v>
      </c>
      <c r="B71" s="629"/>
      <c r="C71" s="612">
        <f>SUM((19.91*6.25*186)+600)</f>
        <v>23745.375</v>
      </c>
      <c r="D71" s="821">
        <v>9000</v>
      </c>
    </row>
    <row r="72" spans="1:4" ht="15">
      <c r="A72" s="840" t="s">
        <v>376</v>
      </c>
      <c r="B72" s="632"/>
      <c r="C72" s="612">
        <f>SUM((20.24*6.25*186)+800)</f>
        <v>24328.999999999996</v>
      </c>
      <c r="D72" s="821">
        <v>9000</v>
      </c>
    </row>
    <row r="73" spans="1:4" ht="15">
      <c r="A73" s="841" t="s">
        <v>524</v>
      </c>
      <c r="B73" s="629"/>
      <c r="C73" s="612">
        <f>PRODUCT(16.24*6.25*186)</f>
        <v>18878.999999999996</v>
      </c>
      <c r="D73" s="821" t="s">
        <v>800</v>
      </c>
    </row>
    <row r="74" spans="1:4" ht="15">
      <c r="A74" s="840" t="s">
        <v>361</v>
      </c>
      <c r="B74" s="627"/>
      <c r="C74" s="612">
        <f>PRODUCT(18.26*6.25*186)</f>
        <v>21227.250000000004</v>
      </c>
      <c r="D74" s="821" t="s">
        <v>800</v>
      </c>
    </row>
    <row r="75" spans="1:4" ht="15">
      <c r="A75" s="840" t="s">
        <v>374</v>
      </c>
      <c r="B75" s="631"/>
      <c r="C75" s="612">
        <f>SUM((20.24*6.25*186)+600)</f>
        <v>24128.999999999996</v>
      </c>
      <c r="D75" s="821" t="s">
        <v>800</v>
      </c>
    </row>
    <row r="76" spans="1:4" ht="15">
      <c r="A76" s="840" t="s">
        <v>362</v>
      </c>
      <c r="B76" s="632"/>
      <c r="C76" s="612">
        <f>SUM((19.91*6.25*186)+800)</f>
        <v>23945.375</v>
      </c>
      <c r="D76" s="821" t="s">
        <v>800</v>
      </c>
    </row>
    <row r="77" spans="1:4" ht="15">
      <c r="A77" s="840" t="s">
        <v>365</v>
      </c>
      <c r="B77" s="627"/>
      <c r="C77" s="612">
        <f>PRODUCT(16.24*6.25*186)</f>
        <v>18878.999999999996</v>
      </c>
      <c r="D77" s="821" t="s">
        <v>800</v>
      </c>
    </row>
    <row r="78" spans="1:4" ht="15">
      <c r="A78" s="841" t="s">
        <v>366</v>
      </c>
      <c r="B78" s="629"/>
      <c r="C78" s="612">
        <f>SUM((20.24*6.25*186)+600)</f>
        <v>24128.999999999996</v>
      </c>
      <c r="D78" s="821" t="s">
        <v>800</v>
      </c>
    </row>
    <row r="79" spans="1:4" ht="15">
      <c r="A79" s="841" t="s">
        <v>367</v>
      </c>
      <c r="B79" s="629"/>
      <c r="C79" s="612">
        <f>SUM((20.24*6.25*186)+600)</f>
        <v>24128.999999999996</v>
      </c>
      <c r="D79" s="821" t="s">
        <v>800</v>
      </c>
    </row>
    <row r="80" spans="1:4" ht="15">
      <c r="A80" s="841" t="s">
        <v>751</v>
      </c>
      <c r="B80" s="629"/>
      <c r="C80" s="612">
        <f>PRODUCT(15.54*6.25*186)</f>
        <v>18065.25</v>
      </c>
      <c r="D80" s="821" t="s">
        <v>800</v>
      </c>
    </row>
    <row r="81" spans="1:4" ht="15">
      <c r="A81" s="841" t="s">
        <v>752</v>
      </c>
      <c r="B81" s="629"/>
      <c r="C81" s="612">
        <f>PRODUCT(15.87*6.25*186)</f>
        <v>18448.875</v>
      </c>
      <c r="D81" s="821" t="s">
        <v>800</v>
      </c>
    </row>
    <row r="82" spans="1:4" ht="15">
      <c r="A82" s="869" t="s">
        <v>753</v>
      </c>
      <c r="B82" s="627"/>
      <c r="C82" s="612">
        <v>18449</v>
      </c>
      <c r="D82" s="659" t="s">
        <v>824</v>
      </c>
    </row>
    <row r="83" spans="1:4" ht="15">
      <c r="A83" s="843" t="s">
        <v>750</v>
      </c>
      <c r="B83" s="632"/>
      <c r="C83" s="612">
        <v>0</v>
      </c>
      <c r="D83"/>
    </row>
    <row r="84" spans="1:4" ht="15">
      <c r="A84" s="628" t="s">
        <v>521</v>
      </c>
      <c r="B84" s="634"/>
      <c r="C84" s="635">
        <v>5000</v>
      </c>
      <c r="D84"/>
    </row>
    <row r="85" spans="1:4" ht="15">
      <c r="A85" s="850" t="s">
        <v>806</v>
      </c>
      <c r="B85" s="634" t="s">
        <v>527</v>
      </c>
      <c r="C85" s="846">
        <f>SUM(C68:C72)</f>
        <v>115699.625</v>
      </c>
      <c r="D85">
        <v>9000</v>
      </c>
    </row>
    <row r="86" spans="1:4" ht="15">
      <c r="A86" s="615" t="s">
        <v>807</v>
      </c>
      <c r="B86" s="614" t="s">
        <v>525</v>
      </c>
      <c r="C86" s="616">
        <f>SUM(C73:C84)</f>
        <v>215280.75</v>
      </c>
      <c r="D86" s="645" t="s">
        <v>800</v>
      </c>
    </row>
    <row r="87" spans="1:3" ht="15">
      <c r="A87" s="613"/>
      <c r="B87" s="614"/>
      <c r="C87" s="612"/>
    </row>
    <row r="88" spans="1:4" ht="15">
      <c r="A88" s="630" t="s">
        <v>341</v>
      </c>
      <c r="B88" s="631"/>
      <c r="C88" s="612"/>
      <c r="D88"/>
    </row>
    <row r="89" spans="1:4" ht="15">
      <c r="A89" s="837" t="s">
        <v>523</v>
      </c>
      <c r="B89" s="632"/>
      <c r="C89" s="612">
        <f>SUM((20.41*6.25*186)+900)</f>
        <v>24626.625</v>
      </c>
      <c r="D89" s="821">
        <v>9000</v>
      </c>
    </row>
    <row r="90" spans="1:4" ht="15">
      <c r="A90" s="838" t="s">
        <v>369</v>
      </c>
      <c r="B90" s="629"/>
      <c r="C90" s="612">
        <f>SUM((20.24*6.25*186)+600)</f>
        <v>24128.999999999996</v>
      </c>
      <c r="D90" s="821">
        <v>9000</v>
      </c>
    </row>
    <row r="91" spans="1:4" ht="15">
      <c r="A91" s="837" t="s">
        <v>357</v>
      </c>
      <c r="B91" s="627"/>
      <c r="C91" s="612">
        <f>SUM((19.91*6.25*186)+700)</f>
        <v>23845.375</v>
      </c>
      <c r="D91" s="821">
        <v>9000</v>
      </c>
    </row>
    <row r="92" spans="1:4" ht="15">
      <c r="A92" s="837" t="s">
        <v>370</v>
      </c>
      <c r="B92" s="627"/>
      <c r="C92" s="612">
        <f>PRODUCT(17.31*6.25*186)</f>
        <v>20122.874999999996</v>
      </c>
      <c r="D92" s="821">
        <v>9000</v>
      </c>
    </row>
    <row r="93" spans="1:4" ht="15">
      <c r="A93" s="837" t="s">
        <v>360</v>
      </c>
      <c r="B93" s="627"/>
      <c r="C93" s="612">
        <f>PRODUCT(16.24*6.25*186)</f>
        <v>18878.999999999996</v>
      </c>
      <c r="D93" s="821">
        <v>9000</v>
      </c>
    </row>
    <row r="94" spans="1:4" ht="15">
      <c r="A94" s="837" t="s">
        <v>372</v>
      </c>
      <c r="B94" s="627"/>
      <c r="C94" s="612">
        <f>SUM((19.91*6.75*186)+800)</f>
        <v>25797.005</v>
      </c>
      <c r="D94" s="821">
        <v>9000</v>
      </c>
    </row>
    <row r="95" spans="1:9" ht="15">
      <c r="A95" s="837" t="s">
        <v>373</v>
      </c>
      <c r="B95" s="632"/>
      <c r="C95" s="612">
        <f>PRODUCT(16.99*7.5*186)</f>
        <v>23701.049999999996</v>
      </c>
      <c r="D95" s="821">
        <v>9000</v>
      </c>
      <c r="G95" s="387" t="s">
        <v>801</v>
      </c>
      <c r="H95" s="388">
        <f>SUM(C85,C102,C110)</f>
        <v>376867.925</v>
      </c>
      <c r="I95" t="s">
        <v>809</v>
      </c>
    </row>
    <row r="96" spans="1:4" ht="15">
      <c r="A96" s="837" t="s">
        <v>368</v>
      </c>
      <c r="B96" s="627"/>
      <c r="C96" s="612">
        <f>SUM((20.41*6.5*186)+800)</f>
        <v>25475.69</v>
      </c>
      <c r="D96" s="821" t="s">
        <v>800</v>
      </c>
    </row>
    <row r="97" spans="1:4" ht="15">
      <c r="A97" s="837" t="s">
        <v>358</v>
      </c>
      <c r="B97" s="632"/>
      <c r="C97" s="612">
        <f>SUM((19.91*6.25*186)+600)</f>
        <v>23745.375</v>
      </c>
      <c r="D97" s="821" t="s">
        <v>800</v>
      </c>
    </row>
    <row r="98" spans="1:4" ht="15">
      <c r="A98" s="837" t="s">
        <v>371</v>
      </c>
      <c r="B98" s="632"/>
      <c r="C98" s="612">
        <f>SUM((20.24*6.25*186)+700)</f>
        <v>24228.999999999996</v>
      </c>
      <c r="D98" s="821" t="s">
        <v>800</v>
      </c>
    </row>
    <row r="99" spans="1:4" ht="15">
      <c r="A99" s="837" t="s">
        <v>375</v>
      </c>
      <c r="B99" s="632"/>
      <c r="C99" s="612">
        <f>SUM((20.24*6.25*186)+700)</f>
        <v>24228.999999999996</v>
      </c>
      <c r="D99" s="821" t="s">
        <v>800</v>
      </c>
    </row>
    <row r="100" spans="1:4" ht="15">
      <c r="A100" s="837" t="s">
        <v>377</v>
      </c>
      <c r="B100" s="632"/>
      <c r="C100" s="612">
        <f>PRODUCT(18.26*6.25*186)</f>
        <v>21227.250000000004</v>
      </c>
      <c r="D100" s="821" t="s">
        <v>800</v>
      </c>
    </row>
    <row r="101" spans="1:4" ht="15">
      <c r="A101" s="628" t="s">
        <v>521</v>
      </c>
      <c r="B101" s="634"/>
      <c r="C101" s="635">
        <v>5000</v>
      </c>
      <c r="D101"/>
    </row>
    <row r="102" spans="1:4" ht="15">
      <c r="A102" s="850" t="s">
        <v>806</v>
      </c>
      <c r="B102" s="634" t="s">
        <v>527</v>
      </c>
      <c r="C102" s="846">
        <f>SUM(C89:C95)</f>
        <v>161100.93</v>
      </c>
      <c r="D102">
        <v>9000</v>
      </c>
    </row>
    <row r="103" spans="1:4" ht="15">
      <c r="A103" s="615" t="s">
        <v>807</v>
      </c>
      <c r="B103" s="614" t="s">
        <v>526</v>
      </c>
      <c r="C103" s="616">
        <f>SUM(C96:C101)</f>
        <v>123906.315</v>
      </c>
      <c r="D103" s="645" t="s">
        <v>800</v>
      </c>
    </row>
    <row r="104" spans="1:3" ht="15">
      <c r="A104" s="613"/>
      <c r="B104" s="614"/>
      <c r="C104" s="612"/>
    </row>
    <row r="105" spans="1:3" ht="15">
      <c r="A105" s="630" t="s">
        <v>378</v>
      </c>
      <c r="B105" s="631"/>
      <c r="C105" s="612"/>
    </row>
    <row r="106" spans="1:4" ht="15">
      <c r="A106" s="839" t="s">
        <v>754</v>
      </c>
      <c r="B106" s="614"/>
      <c r="C106" s="612">
        <f>PRODUCT(20.24*7.5*186)</f>
        <v>28234.799999999996</v>
      </c>
      <c r="D106" s="821">
        <v>9000</v>
      </c>
    </row>
    <row r="107" spans="1:4" ht="15">
      <c r="A107" s="842" t="s">
        <v>755</v>
      </c>
      <c r="B107" s="614"/>
      <c r="C107" s="612">
        <f>SUM((20.41*6.5*186)+600)</f>
        <v>25275.69</v>
      </c>
      <c r="D107" s="821">
        <v>9000</v>
      </c>
    </row>
    <row r="108" spans="1:4" ht="15">
      <c r="A108" s="839" t="s">
        <v>756</v>
      </c>
      <c r="B108" s="614"/>
      <c r="C108" s="612">
        <f>PRODUCT(17.49*6.25*186)</f>
        <v>20332.124999999996</v>
      </c>
      <c r="D108" s="821">
        <v>9000</v>
      </c>
    </row>
    <row r="109" spans="1:4" ht="15">
      <c r="A109" s="839" t="s">
        <v>757</v>
      </c>
      <c r="B109" s="614"/>
      <c r="C109" s="612">
        <f>SUM((20.41*6.75*186)+600)</f>
        <v>26224.755</v>
      </c>
      <c r="D109" s="821">
        <v>9000</v>
      </c>
    </row>
    <row r="110" spans="1:3" ht="15">
      <c r="A110" s="850" t="s">
        <v>806</v>
      </c>
      <c r="B110" s="614" t="s">
        <v>527</v>
      </c>
      <c r="C110" s="616">
        <f>SUM(C106:C109)</f>
        <v>100067.37</v>
      </c>
    </row>
    <row r="111" spans="1:3" ht="15">
      <c r="A111" s="613"/>
      <c r="B111" s="614"/>
      <c r="C111" s="612"/>
    </row>
    <row r="112" spans="1:3" ht="15">
      <c r="A112" s="609" t="s">
        <v>528</v>
      </c>
      <c r="B112" s="610"/>
      <c r="C112" s="612"/>
    </row>
    <row r="113" spans="1:3" ht="15">
      <c r="A113" s="613" t="s">
        <v>379</v>
      </c>
      <c r="B113" s="614" t="s">
        <v>549</v>
      </c>
      <c r="C113" s="616">
        <v>45900</v>
      </c>
    </row>
    <row r="114" spans="1:3" ht="15">
      <c r="A114" s="613" t="s">
        <v>547</v>
      </c>
      <c r="B114" s="614">
        <v>42</v>
      </c>
      <c r="C114" s="616">
        <v>9165</v>
      </c>
    </row>
    <row r="115" spans="1:3" ht="15">
      <c r="A115" s="615"/>
      <c r="B115" s="614"/>
      <c r="C115" s="616"/>
    </row>
    <row r="116" spans="1:3" ht="15">
      <c r="A116" s="609"/>
      <c r="B116" s="620"/>
      <c r="C116" s="616"/>
    </row>
    <row r="117" spans="1:3" ht="15">
      <c r="A117" s="609" t="s">
        <v>441</v>
      </c>
      <c r="B117" s="620"/>
      <c r="C117" s="616"/>
    </row>
    <row r="118" spans="1:4" ht="15">
      <c r="A118" s="636" t="s">
        <v>542</v>
      </c>
      <c r="B118" s="620" t="s">
        <v>543</v>
      </c>
      <c r="C118" s="616">
        <v>44028</v>
      </c>
      <c r="D118" s="659"/>
    </row>
    <row r="119" spans="1:3" ht="15">
      <c r="A119" s="613"/>
      <c r="B119" s="613"/>
      <c r="C119" s="613"/>
    </row>
    <row r="120" spans="1:3" ht="15">
      <c r="A120" s="613" t="s">
        <v>550</v>
      </c>
      <c r="B120" s="615" t="s">
        <v>565</v>
      </c>
      <c r="C120" s="616">
        <f>SUM(91497,1050)</f>
        <v>92547</v>
      </c>
    </row>
    <row r="121" spans="1:3" ht="15">
      <c r="A121" s="613" t="s">
        <v>551</v>
      </c>
      <c r="B121" s="613"/>
      <c r="C121" s="616">
        <v>5000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K51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0.8515625" style="0" customWidth="1"/>
    <col min="3" max="3" width="9.140625" style="647" customWidth="1"/>
    <col min="5" max="5" width="14.57421875" style="385" customWidth="1"/>
  </cols>
  <sheetData>
    <row r="1" spans="1:5" ht="30">
      <c r="A1" s="609" t="s">
        <v>529</v>
      </c>
      <c r="B1" s="610" t="s">
        <v>398</v>
      </c>
      <c r="C1" s="611" t="s">
        <v>353</v>
      </c>
      <c r="E1" s="399"/>
    </row>
    <row r="2" spans="1:3" ht="15">
      <c r="A2" s="609" t="s">
        <v>530</v>
      </c>
      <c r="B2" s="620">
        <v>292</v>
      </c>
      <c r="C2" s="660">
        <v>35593</v>
      </c>
    </row>
    <row r="3" spans="1:5" ht="15">
      <c r="A3" s="609" t="s">
        <v>531</v>
      </c>
      <c r="B3" s="620">
        <v>222</v>
      </c>
      <c r="C3" s="660">
        <v>19632</v>
      </c>
      <c r="E3" s="385" t="s">
        <v>589</v>
      </c>
    </row>
    <row r="4" spans="1:3" ht="15">
      <c r="A4" s="609" t="s">
        <v>532</v>
      </c>
      <c r="B4" s="620">
        <v>254</v>
      </c>
      <c r="C4" s="660">
        <v>66989</v>
      </c>
    </row>
    <row r="5" spans="1:3" ht="15">
      <c r="A5" s="609" t="s">
        <v>533</v>
      </c>
      <c r="B5" s="620">
        <v>255</v>
      </c>
      <c r="C5" s="660">
        <v>1599</v>
      </c>
    </row>
    <row r="6" spans="1:3" ht="15">
      <c r="A6" s="613"/>
      <c r="B6" s="613"/>
      <c r="C6" s="636"/>
    </row>
    <row r="7" spans="1:3" ht="15">
      <c r="A7" s="618" t="s">
        <v>504</v>
      </c>
      <c r="B7" s="621"/>
      <c r="C7" s="650"/>
    </row>
    <row r="8" spans="1:11" ht="15">
      <c r="A8" s="613" t="s">
        <v>505</v>
      </c>
      <c r="B8" s="614"/>
      <c r="C8" s="612">
        <f>SUM(82614,1609)</f>
        <v>84223</v>
      </c>
      <c r="K8" s="381"/>
    </row>
    <row r="9" spans="1:3" ht="15">
      <c r="A9" s="613" t="s">
        <v>506</v>
      </c>
      <c r="B9" s="614"/>
      <c r="C9" s="612">
        <f>SUM(76779,1164)</f>
        <v>77943</v>
      </c>
    </row>
    <row r="10" spans="1:3" ht="15">
      <c r="A10" s="615" t="s">
        <v>316</v>
      </c>
      <c r="B10" s="614" t="s">
        <v>507</v>
      </c>
      <c r="C10" s="649">
        <f>SUM(C8:C9)</f>
        <v>162166</v>
      </c>
    </row>
    <row r="14" spans="1:3" ht="15">
      <c r="A14" s="618" t="s">
        <v>571</v>
      </c>
      <c r="B14" s="613"/>
      <c r="C14" s="636"/>
    </row>
    <row r="15" spans="1:3" ht="15">
      <c r="A15" s="636" t="s">
        <v>583</v>
      </c>
      <c r="B15" s="615" t="s">
        <v>768</v>
      </c>
      <c r="C15" s="650">
        <v>152152</v>
      </c>
    </row>
    <row r="16" spans="1:4" ht="15">
      <c r="A16" s="613" t="s">
        <v>452</v>
      </c>
      <c r="B16" s="615" t="s">
        <v>770</v>
      </c>
      <c r="C16" s="650">
        <v>67000</v>
      </c>
      <c r="D16" t="s">
        <v>794</v>
      </c>
    </row>
    <row r="17" spans="1:3" ht="15">
      <c r="A17" s="613" t="s">
        <v>581</v>
      </c>
      <c r="B17" s="615" t="s">
        <v>771</v>
      </c>
      <c r="C17" s="662">
        <v>52482</v>
      </c>
    </row>
    <row r="18" spans="1:3" ht="15">
      <c r="A18" s="613" t="s">
        <v>572</v>
      </c>
      <c r="B18" s="615" t="s">
        <v>772</v>
      </c>
      <c r="C18" s="650">
        <v>54253</v>
      </c>
    </row>
    <row r="19" spans="1:3" ht="15">
      <c r="A19" s="623" t="s">
        <v>769</v>
      </c>
      <c r="B19" s="615" t="s">
        <v>773</v>
      </c>
      <c r="C19" s="650">
        <v>10000</v>
      </c>
    </row>
    <row r="20" spans="1:3" ht="15">
      <c r="A20" s="823"/>
      <c r="B20" s="624"/>
      <c r="C20" s="649"/>
    </row>
    <row r="21" spans="1:3" ht="15">
      <c r="A21" s="623"/>
      <c r="B21" s="613"/>
      <c r="C21" s="650"/>
    </row>
    <row r="22" spans="1:3" ht="15">
      <c r="A22" s="623"/>
      <c r="B22" s="613"/>
      <c r="C22" s="650"/>
    </row>
    <row r="23" spans="1:3" ht="15">
      <c r="A23" s="613" t="s">
        <v>574</v>
      </c>
      <c r="B23" s="624" t="s">
        <v>774</v>
      </c>
      <c r="C23" s="650">
        <v>62285</v>
      </c>
    </row>
    <row r="24" spans="1:3" ht="15">
      <c r="A24" s="613" t="s">
        <v>573</v>
      </c>
      <c r="B24" s="624">
        <v>302</v>
      </c>
      <c r="C24" s="662">
        <v>47106</v>
      </c>
    </row>
    <row r="25" spans="1:3" ht="15">
      <c r="A25" s="613" t="s">
        <v>575</v>
      </c>
      <c r="B25" s="624" t="s">
        <v>775</v>
      </c>
      <c r="C25" s="650">
        <v>17748</v>
      </c>
    </row>
    <row r="26" spans="1:6" ht="15">
      <c r="A26" s="651" t="s">
        <v>848</v>
      </c>
      <c r="B26" s="615" t="s">
        <v>775</v>
      </c>
      <c r="C26" s="650">
        <v>17748</v>
      </c>
      <c r="D26" t="s">
        <v>849</v>
      </c>
      <c r="E26" s="385" t="s">
        <v>775</v>
      </c>
      <c r="F26" s="385">
        <f>SUM(C25:C26)</f>
        <v>35496</v>
      </c>
    </row>
    <row r="29" spans="1:3" ht="15">
      <c r="A29" s="618" t="s">
        <v>576</v>
      </c>
      <c r="B29" s="648"/>
      <c r="C29" s="636"/>
    </row>
    <row r="30" spans="1:3" ht="15">
      <c r="A30" s="636" t="s">
        <v>577</v>
      </c>
      <c r="B30" s="822">
        <v>211</v>
      </c>
      <c r="C30" s="650">
        <v>105576</v>
      </c>
    </row>
    <row r="31" spans="1:3" ht="15">
      <c r="A31" s="636" t="s">
        <v>578</v>
      </c>
      <c r="B31" s="822">
        <v>213</v>
      </c>
      <c r="C31" s="650">
        <v>86363</v>
      </c>
    </row>
    <row r="32" spans="1:3" ht="15">
      <c r="A32" s="636" t="s">
        <v>579</v>
      </c>
      <c r="B32" s="822">
        <v>281</v>
      </c>
      <c r="C32" s="663">
        <v>105000</v>
      </c>
    </row>
    <row r="33" spans="1:3" ht="15">
      <c r="A33" s="636" t="s">
        <v>580</v>
      </c>
      <c r="B33" s="822">
        <v>143</v>
      </c>
      <c r="C33" s="650">
        <v>95000</v>
      </c>
    </row>
    <row r="34" spans="1:3" ht="15">
      <c r="A34" s="636" t="s">
        <v>850</v>
      </c>
      <c r="B34" s="822">
        <v>145</v>
      </c>
      <c r="C34" s="650">
        <v>80000</v>
      </c>
    </row>
    <row r="35" spans="1:5" ht="15">
      <c r="A35" s="613" t="s">
        <v>766</v>
      </c>
      <c r="B35" s="614">
        <v>73</v>
      </c>
      <c r="C35" s="662">
        <v>11644</v>
      </c>
      <c r="E35" s="385" t="s">
        <v>584</v>
      </c>
    </row>
    <row r="36" spans="1:5" ht="15">
      <c r="A36" s="636" t="s">
        <v>767</v>
      </c>
      <c r="B36" s="648"/>
      <c r="C36" s="650">
        <v>102122</v>
      </c>
      <c r="E36" s="385" t="s">
        <v>585</v>
      </c>
    </row>
    <row r="37" spans="1:3" ht="15">
      <c r="A37" s="613"/>
      <c r="B37" s="613"/>
      <c r="C37" s="650"/>
    </row>
    <row r="38" ht="15">
      <c r="K38" s="381"/>
    </row>
    <row r="40" ht="15">
      <c r="A40" s="618" t="s">
        <v>758</v>
      </c>
    </row>
    <row r="41" spans="1:3" ht="15">
      <c r="A41" s="613" t="s">
        <v>759</v>
      </c>
      <c r="B41" s="614" t="s">
        <v>33</v>
      </c>
      <c r="C41" s="616">
        <f>PRODUCT(72828*0.6)</f>
        <v>43696.799999999996</v>
      </c>
    </row>
    <row r="42" spans="1:3" ht="15">
      <c r="A42" s="613" t="s">
        <v>760</v>
      </c>
      <c r="B42" s="614"/>
      <c r="C42" s="662">
        <f>PRODUCT(52020/2)</f>
        <v>26010</v>
      </c>
    </row>
    <row r="43" spans="1:3" ht="15">
      <c r="A43" s="613" t="s">
        <v>588</v>
      </c>
      <c r="B43" s="614"/>
      <c r="C43" s="662">
        <v>53040</v>
      </c>
    </row>
    <row r="44" spans="1:3" ht="15">
      <c r="A44" s="613" t="s">
        <v>505</v>
      </c>
      <c r="B44" s="614"/>
      <c r="C44" s="662">
        <v>38111</v>
      </c>
    </row>
    <row r="45" spans="1:3" ht="15">
      <c r="A45" s="613" t="s">
        <v>761</v>
      </c>
      <c r="B45" s="614"/>
      <c r="C45" s="662">
        <v>33011</v>
      </c>
    </row>
    <row r="46" spans="1:3" ht="15">
      <c r="A46" s="613" t="s">
        <v>762</v>
      </c>
      <c r="B46" s="614"/>
      <c r="C46" s="662">
        <v>33011</v>
      </c>
    </row>
    <row r="47" spans="1:3" ht="15">
      <c r="A47" s="613" t="s">
        <v>763</v>
      </c>
      <c r="B47" s="614"/>
      <c r="C47" s="662">
        <v>33011</v>
      </c>
    </row>
    <row r="48" spans="1:3" ht="15">
      <c r="A48" s="613" t="s">
        <v>764</v>
      </c>
      <c r="B48" s="614"/>
      <c r="C48" s="662">
        <v>33011</v>
      </c>
    </row>
    <row r="49" spans="1:3" ht="15">
      <c r="A49" s="613" t="s">
        <v>765</v>
      </c>
      <c r="B49" s="614"/>
      <c r="C49" s="662">
        <v>33011</v>
      </c>
    </row>
    <row r="50" spans="1:3" ht="15">
      <c r="A50" s="613" t="s">
        <v>853</v>
      </c>
      <c r="B50" s="614"/>
      <c r="C50" s="662">
        <v>-10000</v>
      </c>
    </row>
    <row r="51" spans="1:3" ht="15">
      <c r="A51" s="615" t="s">
        <v>316</v>
      </c>
      <c r="B51" s="614">
        <v>321</v>
      </c>
      <c r="C51" s="616">
        <f>SUM(C42:C50)</f>
        <v>272216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Don</dc:creator>
  <cp:keywords/>
  <dc:description/>
  <cp:lastModifiedBy>Loglisci, Michelle</cp:lastModifiedBy>
  <cp:lastPrinted>2021-03-08T20:14:36Z</cp:lastPrinted>
  <dcterms:created xsi:type="dcterms:W3CDTF">2019-02-15T14:58:27Z</dcterms:created>
  <dcterms:modified xsi:type="dcterms:W3CDTF">2021-04-12T16:59:29Z</dcterms:modified>
  <cp:category/>
  <cp:version/>
  <cp:contentType/>
  <cp:contentStatus/>
</cp:coreProperties>
</file>